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dtent\AppData\Local\Huddle\Huddle\Files\8840f825-ca8e-46e4-96c7-74541e56e53e\"/>
    </mc:Choice>
  </mc:AlternateContent>
  <xr:revisionPtr revIDLastSave="0" documentId="13_ncr:1_{FD5EF194-FE53-4DE8-B2D2-09D91FFB810A}" xr6:coauthVersionLast="47" xr6:coauthVersionMax="47" xr10:uidLastSave="{00000000-0000-0000-0000-000000000000}"/>
  <workbookProtection workbookAlgorithmName="SHA-512" workbookHashValue="OFukapH9PAzUdALzvypXgbcLNq/NE7UJU36aSOswIUHPFoSMKgj6ZiMHhragtq9w3lYpPtNDn2jGwT4zNELMZA==" workbookSaltValue="8yVrmWhZ7KDDfaIcCzYE7A==" workbookSpinCount="100000" lockStructure="1"/>
  <bookViews>
    <workbookView xWindow="28680" yWindow="-120" windowWidth="29040" windowHeight="15720" tabRatio="708" activeTab="1" xr2:uid="{C97E282A-73B2-4556-A54A-1D2F4619A5A1}"/>
  </bookViews>
  <sheets>
    <sheet name="Cover" sheetId="25" r:id="rId1"/>
    <sheet name="User Notes - Read Me" sheetId="7" r:id="rId2"/>
    <sheet name="Building Breakdown" sheetId="4" r:id="rId3"/>
    <sheet name="Option 1 Cost &amp; Savings" sheetId="17" r:id="rId4"/>
    <sheet name="Option 2 Cost &amp; Savings" sheetId="18" r:id="rId5"/>
    <sheet name="User Data Source Assumptions" sheetId="23" r:id="rId6"/>
    <sheet name="Version Control" sheetId="22" r:id="rId7"/>
    <sheet name="Emission factors" sheetId="26" state="veryHidden" r:id="rId8"/>
    <sheet name="Techno-Economic Assumptions" sheetId="19" state="veryHidden" r:id="rId9"/>
    <sheet name="Lists" sheetId="6" state="veryHidden" r:id="rId10"/>
  </sheets>
  <definedNames>
    <definedName name="BuildingCategory">Lists!$A$2:$A$20</definedName>
    <definedName name="BuildingZones">Lists!$C$2:$C$6</definedName>
    <definedName name="StateOfExistingBMS">Lists!$B$2:$B$6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4" l="1"/>
  <c r="D64" i="19"/>
  <c r="D62" i="19"/>
  <c r="D59" i="19"/>
  <c r="D58" i="19"/>
  <c r="D57" i="19"/>
  <c r="D56" i="19"/>
  <c r="D55" i="19"/>
  <c r="D54" i="19"/>
  <c r="H52" i="19"/>
  <c r="G52" i="19"/>
  <c r="F52" i="19"/>
  <c r="I53" i="19"/>
  <c r="D27" i="19"/>
  <c r="L25" i="19"/>
  <c r="D26" i="19" s="1"/>
  <c r="I29" i="19"/>
  <c r="I28" i="19"/>
  <c r="I27" i="19"/>
  <c r="H29" i="19"/>
  <c r="H28" i="19"/>
  <c r="H27" i="19"/>
  <c r="D25" i="19"/>
  <c r="F24" i="19"/>
  <c r="E24" i="19"/>
  <c r="D23" i="19"/>
  <c r="D22" i="19"/>
  <c r="U25" i="4"/>
  <c r="I52" i="19" l="1"/>
  <c r="D53" i="19" s="1"/>
  <c r="O7" i="19"/>
  <c r="H8" i="19" l="1"/>
  <c r="D34" i="18" l="1"/>
  <c r="D38" i="18" s="1"/>
  <c r="E34" i="18"/>
  <c r="E38" i="18" s="1"/>
  <c r="D35" i="18"/>
  <c r="D47" i="18" s="1"/>
  <c r="E35" i="18"/>
  <c r="E47" i="18" s="1"/>
  <c r="D36" i="18"/>
  <c r="D40" i="18" s="1"/>
  <c r="E36" i="18"/>
  <c r="E40" i="18" s="1"/>
  <c r="C35" i="18"/>
  <c r="C39" i="18" s="1"/>
  <c r="C36" i="18"/>
  <c r="C40" i="18" s="1"/>
  <c r="C34" i="18"/>
  <c r="C38" i="18" s="1"/>
  <c r="E24" i="17"/>
  <c r="E36" i="17" s="1"/>
  <c r="D22" i="17"/>
  <c r="D34" i="17" s="1"/>
  <c r="E22" i="17"/>
  <c r="E34" i="17" s="1"/>
  <c r="D23" i="17"/>
  <c r="D27" i="17" s="1"/>
  <c r="E23" i="17"/>
  <c r="E27" i="17" s="1"/>
  <c r="D24" i="17"/>
  <c r="D36" i="17" s="1"/>
  <c r="E25" i="17"/>
  <c r="E37" i="17" s="1"/>
  <c r="D25" i="17"/>
  <c r="D37" i="17" s="1"/>
  <c r="D24" i="19"/>
  <c r="E28" i="17" l="1"/>
  <c r="E35" i="17"/>
  <c r="E38" i="17" s="1"/>
  <c r="D35" i="17"/>
  <c r="D28" i="17"/>
  <c r="E48" i="18"/>
  <c r="D48" i="18"/>
  <c r="C46" i="18"/>
  <c r="E46" i="18"/>
  <c r="C47" i="18"/>
  <c r="D46" i="18"/>
  <c r="C48" i="18"/>
  <c r="E39" i="18"/>
  <c r="D39" i="18"/>
  <c r="D38" i="17"/>
  <c r="Y25" i="4"/>
  <c r="AB25" i="4" l="1"/>
  <c r="O25" i="4"/>
  <c r="AA25" i="4" s="1"/>
  <c r="O26" i="4"/>
  <c r="O27" i="4"/>
  <c r="O28" i="4"/>
  <c r="O29" i="4"/>
  <c r="O30" i="4"/>
  <c r="O31" i="4"/>
  <c r="O32" i="4"/>
  <c r="O33" i="4"/>
  <c r="O34" i="4"/>
  <c r="O35" i="4"/>
  <c r="O36" i="4"/>
  <c r="O37" i="4"/>
  <c r="O38"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39" i="4"/>
  <c r="M25" i="4"/>
  <c r="P25" i="4" s="1"/>
  <c r="M26" i="4"/>
  <c r="M27" i="4"/>
  <c r="M28" i="4"/>
  <c r="M29" i="4"/>
  <c r="M30" i="4"/>
  <c r="M31" i="4"/>
  <c r="M32" i="4"/>
  <c r="P32" i="4" s="1"/>
  <c r="M33" i="4"/>
  <c r="P33" i="4" s="1"/>
  <c r="M34" i="4"/>
  <c r="M35" i="4"/>
  <c r="M36" i="4"/>
  <c r="M37" i="4"/>
  <c r="M38"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39" i="4"/>
  <c r="L40" i="4"/>
  <c r="N40" i="4" s="1"/>
  <c r="L41" i="4"/>
  <c r="N41" i="4" s="1"/>
  <c r="L42" i="4"/>
  <c r="N42" i="4" s="1"/>
  <c r="L43" i="4"/>
  <c r="N43" i="4" s="1"/>
  <c r="L44" i="4"/>
  <c r="N44" i="4" s="1"/>
  <c r="L45" i="4"/>
  <c r="N45" i="4" s="1"/>
  <c r="L46" i="4"/>
  <c r="N46" i="4" s="1"/>
  <c r="L47" i="4"/>
  <c r="N47" i="4" s="1"/>
  <c r="L48" i="4"/>
  <c r="N48" i="4" s="1"/>
  <c r="L49" i="4"/>
  <c r="N49" i="4" s="1"/>
  <c r="L50" i="4"/>
  <c r="N50" i="4" s="1"/>
  <c r="L51" i="4"/>
  <c r="N51" i="4" s="1"/>
  <c r="L52" i="4"/>
  <c r="N52" i="4" s="1"/>
  <c r="L53" i="4"/>
  <c r="N53" i="4" s="1"/>
  <c r="L54" i="4"/>
  <c r="N54" i="4" s="1"/>
  <c r="L55" i="4"/>
  <c r="N55" i="4" s="1"/>
  <c r="L56" i="4"/>
  <c r="N56" i="4" s="1"/>
  <c r="L57" i="4"/>
  <c r="N57" i="4" s="1"/>
  <c r="L58" i="4"/>
  <c r="N58" i="4" s="1"/>
  <c r="L59" i="4"/>
  <c r="N59" i="4" s="1"/>
  <c r="L60" i="4"/>
  <c r="N60" i="4" s="1"/>
  <c r="L61" i="4"/>
  <c r="N61" i="4" s="1"/>
  <c r="L62" i="4"/>
  <c r="N62" i="4" s="1"/>
  <c r="L63" i="4"/>
  <c r="N63" i="4" s="1"/>
  <c r="L64" i="4"/>
  <c r="N64" i="4" s="1"/>
  <c r="L65" i="4"/>
  <c r="N65" i="4" s="1"/>
  <c r="L66" i="4"/>
  <c r="N66" i="4" s="1"/>
  <c r="L67" i="4"/>
  <c r="N67" i="4" s="1"/>
  <c r="L68" i="4"/>
  <c r="N68" i="4" s="1"/>
  <c r="L69" i="4"/>
  <c r="N69" i="4" s="1"/>
  <c r="L70" i="4"/>
  <c r="N70" i="4" s="1"/>
  <c r="L71" i="4"/>
  <c r="N71" i="4" s="1"/>
  <c r="L72" i="4"/>
  <c r="N72" i="4" s="1"/>
  <c r="L73" i="4"/>
  <c r="N73" i="4" s="1"/>
  <c r="L74" i="4"/>
  <c r="N74" i="4" s="1"/>
  <c r="L75" i="4"/>
  <c r="N75" i="4" s="1"/>
  <c r="L76" i="4"/>
  <c r="N76" i="4" s="1"/>
  <c r="L77" i="4"/>
  <c r="N77" i="4" s="1"/>
  <c r="L78" i="4"/>
  <c r="N78" i="4" s="1"/>
  <c r="L79" i="4"/>
  <c r="N79" i="4" s="1"/>
  <c r="L80" i="4"/>
  <c r="N80" i="4" s="1"/>
  <c r="L81" i="4"/>
  <c r="N81" i="4" s="1"/>
  <c r="L82" i="4"/>
  <c r="N82" i="4" s="1"/>
  <c r="L83" i="4"/>
  <c r="N83" i="4" s="1"/>
  <c r="L84" i="4"/>
  <c r="N84" i="4" s="1"/>
  <c r="L85" i="4"/>
  <c r="N85" i="4" s="1"/>
  <c r="L86" i="4"/>
  <c r="N86" i="4" s="1"/>
  <c r="L87" i="4"/>
  <c r="N87" i="4" s="1"/>
  <c r="L88" i="4"/>
  <c r="N88" i="4" s="1"/>
  <c r="L89" i="4"/>
  <c r="N89" i="4" s="1"/>
  <c r="L90" i="4"/>
  <c r="N90" i="4" s="1"/>
  <c r="L91" i="4"/>
  <c r="N91" i="4" s="1"/>
  <c r="L92" i="4"/>
  <c r="N92" i="4" s="1"/>
  <c r="L93" i="4"/>
  <c r="N93" i="4" s="1"/>
  <c r="L94" i="4"/>
  <c r="N94" i="4" s="1"/>
  <c r="L95" i="4"/>
  <c r="N95" i="4" s="1"/>
  <c r="L96" i="4"/>
  <c r="N96" i="4" s="1"/>
  <c r="L97" i="4"/>
  <c r="N97" i="4" s="1"/>
  <c r="L98" i="4"/>
  <c r="N98" i="4" s="1"/>
  <c r="L99" i="4"/>
  <c r="N99" i="4" s="1"/>
  <c r="L100" i="4"/>
  <c r="N100" i="4" s="1"/>
  <c r="L101" i="4"/>
  <c r="N101" i="4" s="1"/>
  <c r="L102" i="4"/>
  <c r="N102" i="4" s="1"/>
  <c r="L103" i="4"/>
  <c r="N103" i="4" s="1"/>
  <c r="L104" i="4"/>
  <c r="N104" i="4" s="1"/>
  <c r="L105" i="4"/>
  <c r="N105" i="4" s="1"/>
  <c r="L106" i="4"/>
  <c r="N106" i="4" s="1"/>
  <c r="L107" i="4"/>
  <c r="N107" i="4" s="1"/>
  <c r="L108" i="4"/>
  <c r="N108" i="4" s="1"/>
  <c r="L109" i="4"/>
  <c r="N109" i="4" s="1"/>
  <c r="L110" i="4"/>
  <c r="N110" i="4" s="1"/>
  <c r="L111" i="4"/>
  <c r="N111" i="4" s="1"/>
  <c r="L112" i="4"/>
  <c r="N112" i="4" s="1"/>
  <c r="L113" i="4"/>
  <c r="N113" i="4" s="1"/>
  <c r="L114" i="4"/>
  <c r="N114" i="4" s="1"/>
  <c r="L115" i="4"/>
  <c r="N115" i="4" s="1"/>
  <c r="L116" i="4"/>
  <c r="N116" i="4" s="1"/>
  <c r="L117" i="4"/>
  <c r="N117" i="4" s="1"/>
  <c r="L118" i="4"/>
  <c r="N118" i="4" s="1"/>
  <c r="L119" i="4"/>
  <c r="N119" i="4" s="1"/>
  <c r="L120" i="4"/>
  <c r="N120" i="4" s="1"/>
  <c r="L121" i="4"/>
  <c r="N121" i="4" s="1"/>
  <c r="N25" i="4"/>
  <c r="Z25" i="4" s="1"/>
  <c r="C22" i="17" s="1"/>
  <c r="L26" i="4"/>
  <c r="N26" i="4" s="1"/>
  <c r="L27" i="4"/>
  <c r="N27" i="4" s="1"/>
  <c r="L28" i="4"/>
  <c r="N28" i="4" s="1"/>
  <c r="L29" i="4"/>
  <c r="N29" i="4" s="1"/>
  <c r="L30" i="4"/>
  <c r="N30" i="4" s="1"/>
  <c r="L31" i="4"/>
  <c r="N31" i="4" s="1"/>
  <c r="L32" i="4"/>
  <c r="N32" i="4" s="1"/>
  <c r="L33" i="4"/>
  <c r="N33" i="4" s="1"/>
  <c r="L34" i="4"/>
  <c r="N34" i="4" s="1"/>
  <c r="L35" i="4"/>
  <c r="N35" i="4" s="1"/>
  <c r="L36" i="4"/>
  <c r="N36" i="4" s="1"/>
  <c r="L37" i="4"/>
  <c r="N37" i="4" s="1"/>
  <c r="L38" i="4"/>
  <c r="N38" i="4" s="1"/>
  <c r="L39" i="4"/>
  <c r="N39" i="4" s="1"/>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25" i="4"/>
  <c r="S26" i="4"/>
  <c r="S27" i="4"/>
  <c r="S28" i="4"/>
  <c r="S29" i="4"/>
  <c r="S30" i="4"/>
  <c r="S31" i="4"/>
  <c r="S34" i="4"/>
  <c r="S35" i="4"/>
  <c r="S36" i="4"/>
  <c r="S37" i="4"/>
  <c r="S38" i="4"/>
  <c r="S39" i="4"/>
  <c r="P26" i="4"/>
  <c r="P27" i="4"/>
  <c r="P28" i="4"/>
  <c r="P29" i="4"/>
  <c r="P30" i="4"/>
  <c r="P31" i="4"/>
  <c r="P34" i="4"/>
  <c r="P35" i="4"/>
  <c r="P36" i="4"/>
  <c r="P37" i="4"/>
  <c r="P38"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39" i="4"/>
  <c r="Q39" i="4" s="1"/>
  <c r="C26" i="18"/>
  <c r="E14" i="18"/>
  <c r="D14" i="18"/>
  <c r="C14" i="18"/>
  <c r="X121" i="4"/>
  <c r="X120" i="4"/>
  <c r="X119" i="4"/>
  <c r="X118" i="4"/>
  <c r="X117" i="4"/>
  <c r="X116" i="4"/>
  <c r="X115" i="4"/>
  <c r="X114" i="4"/>
  <c r="X113" i="4"/>
  <c r="X112" i="4"/>
  <c r="X111" i="4"/>
  <c r="X110" i="4"/>
  <c r="X109"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C26" i="17" l="1"/>
  <c r="C34" i="17"/>
  <c r="AD25" i="4"/>
  <c r="AC25" i="4"/>
  <c r="S33" i="4"/>
  <c r="S32" i="4"/>
  <c r="D17" i="17" l="1"/>
  <c r="E17" i="17"/>
  <c r="D16" i="17"/>
  <c r="E16" i="17"/>
  <c r="J28" i="19" l="1"/>
  <c r="L28" i="19" s="1"/>
  <c r="J29" i="19"/>
  <c r="L29" i="19" s="1"/>
  <c r="J27" i="19"/>
  <c r="L27" i="19" s="1"/>
  <c r="R116" i="4"/>
  <c r="R115" i="4"/>
  <c r="R108" i="4"/>
  <c r="R107" i="4"/>
  <c r="R100" i="4"/>
  <c r="R92" i="4"/>
  <c r="R84" i="4"/>
  <c r="R76" i="4"/>
  <c r="R68" i="4"/>
  <c r="R60" i="4"/>
  <c r="R52" i="4"/>
  <c r="R44" i="4"/>
  <c r="A3" i="6"/>
  <c r="A4" i="6"/>
  <c r="A5" i="6"/>
  <c r="A6" i="6"/>
  <c r="A7" i="6"/>
  <c r="A8" i="6"/>
  <c r="A9" i="6"/>
  <c r="A10" i="6"/>
  <c r="A11" i="6"/>
  <c r="A12" i="6"/>
  <c r="A13" i="6"/>
  <c r="A14" i="6"/>
  <c r="E8" i="17"/>
  <c r="E7" i="17" s="1"/>
  <c r="E9" i="17" s="1"/>
  <c r="E10" i="17" s="1"/>
  <c r="E11" i="17" s="1"/>
  <c r="E12" i="17" s="1"/>
  <c r="E13" i="17" s="1"/>
  <c r="E14" i="17" s="1"/>
  <c r="E15" i="17" s="1"/>
  <c r="E6" i="17"/>
  <c r="D8" i="17"/>
  <c r="D7" i="17" s="1"/>
  <c r="D9" i="17" s="1"/>
  <c r="D10" i="17" s="1"/>
  <c r="D11" i="17" s="1"/>
  <c r="D12" i="17" s="1"/>
  <c r="D13" i="17" s="1"/>
  <c r="D14" i="17" s="1"/>
  <c r="D15" i="17" s="1"/>
  <c r="D6" i="17"/>
  <c r="I7" i="19"/>
  <c r="H7" i="19"/>
  <c r="I6" i="19"/>
  <c r="I12" i="19"/>
  <c r="H12" i="19"/>
  <c r="I13" i="19"/>
  <c r="H13" i="19"/>
  <c r="H6" i="19"/>
  <c r="I15" i="19"/>
  <c r="H15" i="19"/>
  <c r="I5" i="19"/>
  <c r="H5" i="19"/>
  <c r="Y26" i="4"/>
  <c r="Z26" i="4" s="1"/>
  <c r="C23" i="17" s="1"/>
  <c r="Y27" i="4"/>
  <c r="Y28" i="4"/>
  <c r="Y29" i="4"/>
  <c r="Y30" i="4"/>
  <c r="Y31" i="4"/>
  <c r="Y32" i="4"/>
  <c r="Y33" i="4"/>
  <c r="Y34" i="4"/>
  <c r="Y35" i="4"/>
  <c r="Y36" i="4"/>
  <c r="Y37" i="4"/>
  <c r="AB37" i="4" s="1"/>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C6" i="17"/>
  <c r="D6" i="18"/>
  <c r="E6" i="18"/>
  <c r="C6" i="18"/>
  <c r="Q44" i="4"/>
  <c r="Q52" i="4"/>
  <c r="Q76" i="4"/>
  <c r="Q92" i="4"/>
  <c r="Q107" i="4"/>
  <c r="Q108" i="4"/>
  <c r="Q115" i="4"/>
  <c r="Q116" i="4"/>
  <c r="I10" i="19"/>
  <c r="I14" i="19"/>
  <c r="I11" i="19"/>
  <c r="H10" i="19"/>
  <c r="H14" i="19"/>
  <c r="H11" i="19"/>
  <c r="I8" i="19"/>
  <c r="I9" i="19"/>
  <c r="I16" i="19"/>
  <c r="I17" i="19"/>
  <c r="H17" i="19"/>
  <c r="H16" i="19"/>
  <c r="H9" i="19"/>
  <c r="F10" i="18"/>
  <c r="F8" i="18"/>
  <c r="D26" i="18"/>
  <c r="E26" i="18"/>
  <c r="D14" i="19"/>
  <c r="D13" i="19"/>
  <c r="D6" i="19"/>
  <c r="D7" i="19"/>
  <c r="D9" i="19"/>
  <c r="D10" i="19"/>
  <c r="A2" i="6"/>
  <c r="D29" i="17"/>
  <c r="E29" i="17"/>
  <c r="W70" i="4" l="1"/>
  <c r="C27" i="17"/>
  <c r="C35" i="17"/>
  <c r="Q100" i="4"/>
  <c r="Q84" i="4"/>
  <c r="Q68" i="4"/>
  <c r="Q60" i="4"/>
  <c r="Q29" i="4"/>
  <c r="R29" i="4"/>
  <c r="Q45" i="4"/>
  <c r="R45" i="4"/>
  <c r="Q53" i="4"/>
  <c r="R53" i="4"/>
  <c r="Q61" i="4"/>
  <c r="R61" i="4"/>
  <c r="Q69" i="4"/>
  <c r="R69" i="4"/>
  <c r="Q77" i="4"/>
  <c r="R77" i="4"/>
  <c r="Q85" i="4"/>
  <c r="R85" i="4"/>
  <c r="Q93" i="4"/>
  <c r="R93" i="4"/>
  <c r="Q101" i="4"/>
  <c r="R101" i="4"/>
  <c r="Q109" i="4"/>
  <c r="R109" i="4"/>
  <c r="Q117" i="4"/>
  <c r="R117" i="4"/>
  <c r="Q54" i="4"/>
  <c r="R54" i="4"/>
  <c r="Q102" i="4"/>
  <c r="R102" i="4"/>
  <c r="Q47" i="4"/>
  <c r="R47" i="4"/>
  <c r="Q87" i="4"/>
  <c r="R87" i="4"/>
  <c r="Q111" i="4"/>
  <c r="R111" i="4"/>
  <c r="Q78" i="4"/>
  <c r="R78" i="4"/>
  <c r="Q95" i="4"/>
  <c r="R95" i="4"/>
  <c r="Q48" i="4"/>
  <c r="R48" i="4"/>
  <c r="Q56" i="4"/>
  <c r="R56" i="4"/>
  <c r="Q64" i="4"/>
  <c r="R64" i="4"/>
  <c r="Q72" i="4"/>
  <c r="R72" i="4"/>
  <c r="Q80" i="4"/>
  <c r="R80" i="4"/>
  <c r="Q88" i="4"/>
  <c r="R88" i="4"/>
  <c r="Q96" i="4"/>
  <c r="R96" i="4"/>
  <c r="Q104" i="4"/>
  <c r="R104" i="4"/>
  <c r="Q112" i="4"/>
  <c r="R112" i="4"/>
  <c r="Q120" i="4"/>
  <c r="R120" i="4"/>
  <c r="Q94" i="4"/>
  <c r="R94" i="4"/>
  <c r="Q55" i="4"/>
  <c r="R55" i="4"/>
  <c r="Q103" i="4"/>
  <c r="R103" i="4"/>
  <c r="Q119" i="4"/>
  <c r="R119" i="4"/>
  <c r="Q41" i="4"/>
  <c r="R41" i="4"/>
  <c r="Q49" i="4"/>
  <c r="R49" i="4"/>
  <c r="Q57" i="4"/>
  <c r="R57" i="4"/>
  <c r="Q65" i="4"/>
  <c r="R65" i="4"/>
  <c r="Q73" i="4"/>
  <c r="R73" i="4"/>
  <c r="Q81" i="4"/>
  <c r="R81" i="4"/>
  <c r="Q89" i="4"/>
  <c r="R89" i="4"/>
  <c r="Q97" i="4"/>
  <c r="R97" i="4"/>
  <c r="Q105" i="4"/>
  <c r="R105" i="4"/>
  <c r="Q113" i="4"/>
  <c r="R113" i="4"/>
  <c r="Q121" i="4"/>
  <c r="R121" i="4"/>
  <c r="Q62" i="4"/>
  <c r="R62" i="4"/>
  <c r="Q110" i="4"/>
  <c r="R110" i="4"/>
  <c r="Q71" i="4"/>
  <c r="R71" i="4"/>
  <c r="Q50" i="4"/>
  <c r="R50" i="4"/>
  <c r="Q58" i="4"/>
  <c r="R58" i="4"/>
  <c r="Q66" i="4"/>
  <c r="R66" i="4"/>
  <c r="Q74" i="4"/>
  <c r="R74" i="4"/>
  <c r="Q82" i="4"/>
  <c r="R82" i="4"/>
  <c r="Q90" i="4"/>
  <c r="R90" i="4"/>
  <c r="Q98" i="4"/>
  <c r="R98" i="4"/>
  <c r="Q106" i="4"/>
  <c r="R106" i="4"/>
  <c r="Q114" i="4"/>
  <c r="R114" i="4"/>
  <c r="Q46" i="4"/>
  <c r="R46" i="4"/>
  <c r="Q86" i="4"/>
  <c r="R86" i="4"/>
  <c r="Q63" i="4"/>
  <c r="R63" i="4"/>
  <c r="Q43" i="4"/>
  <c r="R43" i="4"/>
  <c r="Q51" i="4"/>
  <c r="R51" i="4"/>
  <c r="Q59" i="4"/>
  <c r="R59" i="4"/>
  <c r="Q67" i="4"/>
  <c r="R67" i="4"/>
  <c r="Q75" i="4"/>
  <c r="R75" i="4"/>
  <c r="Q83" i="4"/>
  <c r="R83" i="4"/>
  <c r="Q91" i="4"/>
  <c r="R91" i="4"/>
  <c r="Q99" i="4"/>
  <c r="R99" i="4"/>
  <c r="Q70" i="4"/>
  <c r="R70" i="4"/>
  <c r="Q118" i="4"/>
  <c r="R118" i="4"/>
  <c r="Q79" i="4"/>
  <c r="R79" i="4"/>
  <c r="F14" i="18"/>
  <c r="U87" i="4"/>
  <c r="U46" i="4"/>
  <c r="U54" i="4"/>
  <c r="U62" i="4"/>
  <c r="W62" i="4"/>
  <c r="U70" i="4"/>
  <c r="U78" i="4"/>
  <c r="U86" i="4"/>
  <c r="U94" i="4"/>
  <c r="W94" i="4"/>
  <c r="U102" i="4"/>
  <c r="U110" i="4"/>
  <c r="U118" i="4"/>
  <c r="U79" i="4"/>
  <c r="U48" i="4"/>
  <c r="U56" i="4"/>
  <c r="U64" i="4"/>
  <c r="U72" i="4"/>
  <c r="W72" i="4"/>
  <c r="U80" i="4"/>
  <c r="U88" i="4"/>
  <c r="U96" i="4"/>
  <c r="U104" i="4"/>
  <c r="U112" i="4"/>
  <c r="U120" i="4"/>
  <c r="U55" i="4"/>
  <c r="W111" i="4"/>
  <c r="U111" i="4"/>
  <c r="U49" i="4"/>
  <c r="U57" i="4"/>
  <c r="U65" i="4"/>
  <c r="U73" i="4"/>
  <c r="W73" i="4"/>
  <c r="U81" i="4"/>
  <c r="U89" i="4"/>
  <c r="U97" i="4"/>
  <c r="U105" i="4"/>
  <c r="W105" i="4"/>
  <c r="U113" i="4"/>
  <c r="U121" i="4"/>
  <c r="U95" i="4"/>
  <c r="W33" i="4"/>
  <c r="X33" i="4" s="1"/>
  <c r="U33" i="4"/>
  <c r="U50" i="4"/>
  <c r="U58" i="4"/>
  <c r="U66" i="4"/>
  <c r="W74" i="4"/>
  <c r="U74" i="4"/>
  <c r="U82" i="4"/>
  <c r="U90" i="4"/>
  <c r="U98" i="4"/>
  <c r="W106" i="4"/>
  <c r="U106" i="4"/>
  <c r="U114" i="4"/>
  <c r="U71" i="4"/>
  <c r="U43" i="4"/>
  <c r="W51" i="4"/>
  <c r="U51" i="4"/>
  <c r="U59" i="4"/>
  <c r="U67" i="4"/>
  <c r="U75" i="4"/>
  <c r="W83" i="4"/>
  <c r="U83" i="4"/>
  <c r="U91" i="4"/>
  <c r="U99" i="4"/>
  <c r="U107" i="4"/>
  <c r="V107" i="4" s="1"/>
  <c r="W115" i="4"/>
  <c r="U115" i="4"/>
  <c r="V115" i="4" s="1"/>
  <c r="U47" i="4"/>
  <c r="U119" i="4"/>
  <c r="W119" i="4"/>
  <c r="U44" i="4"/>
  <c r="V44" i="4" s="1"/>
  <c r="W52" i="4"/>
  <c r="U52" i="4"/>
  <c r="V52" i="4" s="1"/>
  <c r="U60" i="4"/>
  <c r="U68" i="4"/>
  <c r="V68" i="4" s="1"/>
  <c r="U76" i="4"/>
  <c r="V76" i="4" s="1"/>
  <c r="W84" i="4"/>
  <c r="U84" i="4"/>
  <c r="U92" i="4"/>
  <c r="V92" i="4" s="1"/>
  <c r="U100" i="4"/>
  <c r="V100" i="4" s="1"/>
  <c r="U108" i="4"/>
  <c r="V108" i="4" s="1"/>
  <c r="W116" i="4"/>
  <c r="U116" i="4"/>
  <c r="V116" i="4" s="1"/>
  <c r="U63" i="4"/>
  <c r="U103" i="4"/>
  <c r="W103" i="4"/>
  <c r="U45" i="4"/>
  <c r="U53" i="4"/>
  <c r="W53" i="4"/>
  <c r="U61" i="4"/>
  <c r="U69" i="4"/>
  <c r="W69" i="4"/>
  <c r="U77" i="4"/>
  <c r="W85" i="4"/>
  <c r="U85" i="4"/>
  <c r="U93" i="4"/>
  <c r="U101" i="4"/>
  <c r="W101" i="4"/>
  <c r="U109" i="4"/>
  <c r="U117" i="4"/>
  <c r="W117" i="4"/>
  <c r="AB117" i="4"/>
  <c r="Z117" i="4"/>
  <c r="AA117" i="4"/>
  <c r="AB93" i="4"/>
  <c r="AC93" i="4" s="1"/>
  <c r="AA93" i="4"/>
  <c r="Z93" i="4"/>
  <c r="AB69" i="4"/>
  <c r="AD69" i="4" s="1"/>
  <c r="AA69" i="4"/>
  <c r="Z69" i="4"/>
  <c r="AB114" i="4"/>
  <c r="AA114" i="4"/>
  <c r="Z114" i="4"/>
  <c r="AB98" i="4"/>
  <c r="AD98" i="4" s="1"/>
  <c r="Z98" i="4"/>
  <c r="AA98" i="4"/>
  <c r="AB82" i="4"/>
  <c r="AD82" i="4" s="1"/>
  <c r="AA82" i="4"/>
  <c r="Z82" i="4"/>
  <c r="AB66" i="4"/>
  <c r="AA66" i="4"/>
  <c r="Z66" i="4"/>
  <c r="AB50" i="4"/>
  <c r="AD50" i="4" s="1"/>
  <c r="Z50" i="4"/>
  <c r="AA50" i="4"/>
  <c r="AB113" i="4"/>
  <c r="Z113" i="4"/>
  <c r="AA113" i="4"/>
  <c r="AB105" i="4"/>
  <c r="AD105" i="4" s="1"/>
  <c r="AA105" i="4"/>
  <c r="Z105" i="4"/>
  <c r="AB89" i="4"/>
  <c r="AD89" i="4" s="1"/>
  <c r="Z89" i="4"/>
  <c r="AA89" i="4"/>
  <c r="Z73" i="4"/>
  <c r="AA73" i="4"/>
  <c r="AA57" i="4"/>
  <c r="Z57" i="4"/>
  <c r="AB118" i="4"/>
  <c r="AC118" i="4" s="1"/>
  <c r="Z118" i="4"/>
  <c r="AA118" i="4"/>
  <c r="AB110" i="4"/>
  <c r="AD110" i="4" s="1"/>
  <c r="Z110" i="4"/>
  <c r="AA110" i="4"/>
  <c r="AB102" i="4"/>
  <c r="AD102" i="4" s="1"/>
  <c r="Z102" i="4"/>
  <c r="AA102" i="4"/>
  <c r="AB94" i="4"/>
  <c r="AD94" i="4" s="1"/>
  <c r="Z94" i="4"/>
  <c r="AA94" i="4"/>
  <c r="AB86" i="4"/>
  <c r="AD86" i="4" s="1"/>
  <c r="Z86" i="4"/>
  <c r="AA86" i="4"/>
  <c r="AB78" i="4"/>
  <c r="AD78" i="4" s="1"/>
  <c r="Z78" i="4"/>
  <c r="AA78" i="4"/>
  <c r="AB70" i="4"/>
  <c r="AC70" i="4" s="1"/>
  <c r="Z70" i="4"/>
  <c r="AA70" i="4"/>
  <c r="AB62" i="4"/>
  <c r="AC62" i="4" s="1"/>
  <c r="Z62" i="4"/>
  <c r="AA62" i="4"/>
  <c r="AB54" i="4"/>
  <c r="AD54" i="4" s="1"/>
  <c r="Z54" i="4"/>
  <c r="AA54" i="4"/>
  <c r="AB46" i="4"/>
  <c r="AD46" i="4" s="1"/>
  <c r="Z46" i="4"/>
  <c r="AA46" i="4"/>
  <c r="AB109" i="4"/>
  <c r="AC109" i="4" s="1"/>
  <c r="AA109" i="4"/>
  <c r="Z109" i="4"/>
  <c r="AB85" i="4"/>
  <c r="AD85" i="4" s="1"/>
  <c r="AA85" i="4"/>
  <c r="Z85" i="4"/>
  <c r="AB53" i="4"/>
  <c r="AD53" i="4" s="1"/>
  <c r="Z53" i="4"/>
  <c r="AA53" i="4"/>
  <c r="Z107" i="4"/>
  <c r="AA107" i="4"/>
  <c r="AB91" i="4"/>
  <c r="AC91" i="4" s="1"/>
  <c r="Z91" i="4"/>
  <c r="AA91" i="4"/>
  <c r="AB75" i="4"/>
  <c r="AD75" i="4" s="1"/>
  <c r="Z75" i="4"/>
  <c r="AA75" i="4"/>
  <c r="AB59" i="4"/>
  <c r="AC59" i="4" s="1"/>
  <c r="Z59" i="4"/>
  <c r="AA59" i="4"/>
  <c r="AB101" i="4"/>
  <c r="AC101" i="4" s="1"/>
  <c r="Z101" i="4"/>
  <c r="AA101" i="4"/>
  <c r="AB77" i="4"/>
  <c r="AC77" i="4" s="1"/>
  <c r="Z77" i="4"/>
  <c r="AA77" i="4"/>
  <c r="AB61" i="4"/>
  <c r="AD61" i="4" s="1"/>
  <c r="AA61" i="4"/>
  <c r="Z61" i="4"/>
  <c r="AB45" i="4"/>
  <c r="AA45" i="4"/>
  <c r="Z45" i="4"/>
  <c r="AB116" i="4"/>
  <c r="AD116" i="4" s="1"/>
  <c r="AA116" i="4"/>
  <c r="Z116" i="4"/>
  <c r="AB108" i="4"/>
  <c r="Z108" i="4"/>
  <c r="AA108" i="4"/>
  <c r="AB100" i="4"/>
  <c r="AD100" i="4" s="1"/>
  <c r="AA100" i="4"/>
  <c r="Z100" i="4"/>
  <c r="AB92" i="4"/>
  <c r="AD92" i="4" s="1"/>
  <c r="AA92" i="4"/>
  <c r="Z92" i="4"/>
  <c r="AB84" i="4"/>
  <c r="AC84" i="4" s="1"/>
  <c r="Z84" i="4"/>
  <c r="AA84" i="4"/>
  <c r="AB76" i="4"/>
  <c r="AD76" i="4" s="1"/>
  <c r="AA76" i="4"/>
  <c r="Z76" i="4"/>
  <c r="AB68" i="4"/>
  <c r="AC68" i="4" s="1"/>
  <c r="AA68" i="4"/>
  <c r="Z68" i="4"/>
  <c r="AB60" i="4"/>
  <c r="AD60" i="4" s="1"/>
  <c r="Z60" i="4"/>
  <c r="AA60" i="4"/>
  <c r="AB52" i="4"/>
  <c r="AD52" i="4" s="1"/>
  <c r="Z52" i="4"/>
  <c r="AA52" i="4"/>
  <c r="AB44" i="4"/>
  <c r="AC44" i="4" s="1"/>
  <c r="Z44" i="4"/>
  <c r="AA44" i="4"/>
  <c r="AB115" i="4"/>
  <c r="AD115" i="4" s="1"/>
  <c r="Z115" i="4"/>
  <c r="AA115" i="4"/>
  <c r="AB99" i="4"/>
  <c r="AC99" i="4" s="1"/>
  <c r="Z99" i="4"/>
  <c r="AA99" i="4"/>
  <c r="AB83" i="4"/>
  <c r="AC83" i="4" s="1"/>
  <c r="Z83" i="4"/>
  <c r="AA83" i="4"/>
  <c r="AB67" i="4"/>
  <c r="AD67" i="4" s="1"/>
  <c r="Z67" i="4"/>
  <c r="AA67" i="4"/>
  <c r="AB51" i="4"/>
  <c r="AD51" i="4" s="1"/>
  <c r="Z51" i="4"/>
  <c r="AA51" i="4"/>
  <c r="AB43" i="4"/>
  <c r="AD43" i="4" s="1"/>
  <c r="Z43" i="4"/>
  <c r="AA43" i="4"/>
  <c r="AB106" i="4"/>
  <c r="AD106" i="4" s="1"/>
  <c r="AA106" i="4"/>
  <c r="Z106" i="4"/>
  <c r="AB90" i="4"/>
  <c r="AD90" i="4" s="1"/>
  <c r="AA90" i="4"/>
  <c r="Z90" i="4"/>
  <c r="AB74" i="4"/>
  <c r="AC74" i="4" s="1"/>
  <c r="Z74" i="4"/>
  <c r="AA74" i="4"/>
  <c r="AB58" i="4"/>
  <c r="AD58" i="4" s="1"/>
  <c r="AA58" i="4"/>
  <c r="Z58" i="4"/>
  <c r="C17" i="17"/>
  <c r="F17" i="17" s="1"/>
  <c r="C16" i="17"/>
  <c r="F16" i="17" s="1"/>
  <c r="AB121" i="4"/>
  <c r="AD121" i="4" s="1"/>
  <c r="AA121" i="4"/>
  <c r="Z121" i="4"/>
  <c r="AB97" i="4"/>
  <c r="AD97" i="4" s="1"/>
  <c r="Z97" i="4"/>
  <c r="AA97" i="4"/>
  <c r="AB81" i="4"/>
  <c r="AC81" i="4" s="1"/>
  <c r="AA81" i="4"/>
  <c r="Z81" i="4"/>
  <c r="AA65" i="4"/>
  <c r="Z65" i="4"/>
  <c r="Z49" i="4"/>
  <c r="AA49" i="4"/>
  <c r="AB107" i="4"/>
  <c r="AD107" i="4" s="1"/>
  <c r="AB120" i="4"/>
  <c r="AC120" i="4" s="1"/>
  <c r="Z120" i="4"/>
  <c r="AA120" i="4"/>
  <c r="AB112" i="4"/>
  <c r="AC112" i="4" s="1"/>
  <c r="Z112" i="4"/>
  <c r="AA112" i="4"/>
  <c r="AB104" i="4"/>
  <c r="AD104" i="4" s="1"/>
  <c r="Z104" i="4"/>
  <c r="AA104" i="4"/>
  <c r="AB96" i="4"/>
  <c r="AC96" i="4" s="1"/>
  <c r="Z96" i="4"/>
  <c r="AA96" i="4"/>
  <c r="AB88" i="4"/>
  <c r="AD88" i="4" s="1"/>
  <c r="Z88" i="4"/>
  <c r="AA88" i="4"/>
  <c r="AB80" i="4"/>
  <c r="AD80" i="4" s="1"/>
  <c r="Z80" i="4"/>
  <c r="AA80" i="4"/>
  <c r="AB72" i="4"/>
  <c r="AD72" i="4" s="1"/>
  <c r="Z72" i="4"/>
  <c r="AA72" i="4"/>
  <c r="AB64" i="4"/>
  <c r="AD64" i="4" s="1"/>
  <c r="Z64" i="4"/>
  <c r="AA64" i="4"/>
  <c r="Z56" i="4"/>
  <c r="AA56" i="4"/>
  <c r="AB48" i="4"/>
  <c r="AD48" i="4" s="1"/>
  <c r="Z48" i="4"/>
  <c r="AA48" i="4"/>
  <c r="AB56" i="4"/>
  <c r="AD56" i="4" s="1"/>
  <c r="AB119" i="4"/>
  <c r="AC119" i="4" s="1"/>
  <c r="AA119" i="4"/>
  <c r="Z119" i="4"/>
  <c r="AB111" i="4"/>
  <c r="AD111" i="4" s="1"/>
  <c r="Z111" i="4"/>
  <c r="AA111" i="4"/>
  <c r="AB103" i="4"/>
  <c r="AD103" i="4" s="1"/>
  <c r="AA103" i="4"/>
  <c r="Z103" i="4"/>
  <c r="AB95" i="4"/>
  <c r="AD95" i="4" s="1"/>
  <c r="Z95" i="4"/>
  <c r="AA95" i="4"/>
  <c r="AB87" i="4"/>
  <c r="AC87" i="4" s="1"/>
  <c r="AA87" i="4"/>
  <c r="Z87" i="4"/>
  <c r="AB79" i="4"/>
  <c r="AD79" i="4" s="1"/>
  <c r="Z79" i="4"/>
  <c r="AA79" i="4"/>
  <c r="AB71" i="4"/>
  <c r="AD71" i="4" s="1"/>
  <c r="AA71" i="4"/>
  <c r="Z71" i="4"/>
  <c r="AB63" i="4"/>
  <c r="AD63" i="4" s="1"/>
  <c r="Z63" i="4"/>
  <c r="AA63" i="4"/>
  <c r="AB55" i="4"/>
  <c r="AD55" i="4" s="1"/>
  <c r="AA55" i="4"/>
  <c r="Z55" i="4"/>
  <c r="AB47" i="4"/>
  <c r="AD47" i="4" s="1"/>
  <c r="AA47" i="4"/>
  <c r="Z47" i="4"/>
  <c r="AA41" i="4"/>
  <c r="Z41" i="4"/>
  <c r="AB39" i="4"/>
  <c r="AD39" i="4" s="1"/>
  <c r="Z39" i="4"/>
  <c r="AA39" i="4"/>
  <c r="AB38" i="4"/>
  <c r="AD38" i="4" s="1"/>
  <c r="Z38" i="4"/>
  <c r="AA38" i="4"/>
  <c r="AB30" i="4"/>
  <c r="AD30" i="4" s="1"/>
  <c r="Z30" i="4"/>
  <c r="AA30" i="4"/>
  <c r="Z37" i="4"/>
  <c r="AA37" i="4"/>
  <c r="AB29" i="4"/>
  <c r="AD29" i="4" s="1"/>
  <c r="AA29" i="4"/>
  <c r="Z29" i="4"/>
  <c r="AB28" i="4"/>
  <c r="AD28" i="4" s="1"/>
  <c r="AA28" i="4"/>
  <c r="Z28" i="4"/>
  <c r="AB27" i="4"/>
  <c r="AD27" i="4" s="1"/>
  <c r="Z27" i="4"/>
  <c r="C24" i="17" s="1"/>
  <c r="AA27" i="4"/>
  <c r="AB36" i="4"/>
  <c r="AD36" i="4" s="1"/>
  <c r="AA36" i="4"/>
  <c r="Z36" i="4"/>
  <c r="AB35" i="4"/>
  <c r="AD35" i="4" s="1"/>
  <c r="Z35" i="4"/>
  <c r="AA35" i="4"/>
  <c r="AB42" i="4"/>
  <c r="AC42" i="4" s="1"/>
  <c r="AA42" i="4"/>
  <c r="Z42" i="4"/>
  <c r="AB34" i="4"/>
  <c r="AD34" i="4" s="1"/>
  <c r="AA34" i="4"/>
  <c r="Z34" i="4"/>
  <c r="AB26" i="4"/>
  <c r="AC26" i="4" s="1"/>
  <c r="AA26" i="4"/>
  <c r="AA33" i="4"/>
  <c r="Z33" i="4"/>
  <c r="AB40" i="4"/>
  <c r="AD40" i="4" s="1"/>
  <c r="Z40" i="4"/>
  <c r="AA40" i="4"/>
  <c r="AB32" i="4"/>
  <c r="AC32" i="4" s="1"/>
  <c r="Z32" i="4"/>
  <c r="AA32" i="4"/>
  <c r="AB31" i="4"/>
  <c r="AC31" i="4" s="1"/>
  <c r="Z31" i="4"/>
  <c r="AA31" i="4"/>
  <c r="D37" i="18"/>
  <c r="D7" i="18"/>
  <c r="D12" i="18" s="1"/>
  <c r="D26" i="17"/>
  <c r="E26" i="17"/>
  <c r="E7" i="18"/>
  <c r="E13" i="18" s="1"/>
  <c r="C7" i="18"/>
  <c r="E37" i="18"/>
  <c r="E18" i="17"/>
  <c r="E19" i="17" s="1"/>
  <c r="E20" i="17" s="1"/>
  <c r="F6" i="18"/>
  <c r="F6" i="17"/>
  <c r="F26" i="18"/>
  <c r="D18" i="17"/>
  <c r="D19" i="17" s="1"/>
  <c r="D20" i="17" s="1"/>
  <c r="U29" i="4"/>
  <c r="AD108" i="4"/>
  <c r="AC108" i="4"/>
  <c r="AC100" i="4"/>
  <c r="AD66" i="4"/>
  <c r="AC66" i="4"/>
  <c r="AB65" i="4"/>
  <c r="AB33" i="4"/>
  <c r="AB57" i="4"/>
  <c r="AD114" i="4"/>
  <c r="AC114" i="4"/>
  <c r="AC46" i="4"/>
  <c r="AB49" i="4"/>
  <c r="R31" i="4"/>
  <c r="AB73" i="4"/>
  <c r="AC55" i="4"/>
  <c r="AB41" i="4"/>
  <c r="AD117" i="4"/>
  <c r="AC117" i="4"/>
  <c r="AD113" i="4"/>
  <c r="AC113" i="4"/>
  <c r="AC107" i="4"/>
  <c r="AC85" i="4"/>
  <c r="AD45" i="4"/>
  <c r="AC45" i="4"/>
  <c r="AD37" i="4"/>
  <c r="AC37" i="4"/>
  <c r="AC35" i="4"/>
  <c r="W104" i="4" l="1"/>
  <c r="W79" i="4"/>
  <c r="W44" i="4"/>
  <c r="W55" i="4"/>
  <c r="W96" i="4"/>
  <c r="W64" i="4"/>
  <c r="W109" i="4"/>
  <c r="W77" i="4"/>
  <c r="W45" i="4"/>
  <c r="W108" i="4"/>
  <c r="W76" i="4"/>
  <c r="W107" i="4"/>
  <c r="W75" i="4"/>
  <c r="W43" i="4"/>
  <c r="W98" i="4"/>
  <c r="W66" i="4"/>
  <c r="W95" i="4"/>
  <c r="W97" i="4"/>
  <c r="W65" i="4"/>
  <c r="W118" i="4"/>
  <c r="W86" i="4"/>
  <c r="W54" i="4"/>
  <c r="W71" i="4"/>
  <c r="W89" i="4"/>
  <c r="W57" i="4"/>
  <c r="W120" i="4"/>
  <c r="W56" i="4"/>
  <c r="W110" i="4"/>
  <c r="W78" i="4"/>
  <c r="W100" i="4"/>
  <c r="W68" i="4"/>
  <c r="W99" i="4"/>
  <c r="W67" i="4"/>
  <c r="W90" i="4"/>
  <c r="W58" i="4"/>
  <c r="W121" i="4"/>
  <c r="W88" i="4"/>
  <c r="W46" i="4"/>
  <c r="W112" i="4"/>
  <c r="W80" i="4"/>
  <c r="W48" i="4"/>
  <c r="W87" i="4"/>
  <c r="W93" i="4"/>
  <c r="W61" i="4"/>
  <c r="W63" i="4"/>
  <c r="W92" i="4"/>
  <c r="W60" i="4"/>
  <c r="W47" i="4"/>
  <c r="W91" i="4"/>
  <c r="W59" i="4"/>
  <c r="W114" i="4"/>
  <c r="W82" i="4"/>
  <c r="W50" i="4"/>
  <c r="W113" i="4"/>
  <c r="W81" i="4"/>
  <c r="W49" i="4"/>
  <c r="W102" i="4"/>
  <c r="C36" i="17"/>
  <c r="C28" i="17"/>
  <c r="E41" i="18"/>
  <c r="E49" i="18"/>
  <c r="E50" i="18" s="1"/>
  <c r="D41" i="18"/>
  <c r="D49" i="18"/>
  <c r="D50" i="18" s="1"/>
  <c r="C25" i="17"/>
  <c r="AD101" i="4"/>
  <c r="AD42" i="4"/>
  <c r="AD70" i="4"/>
  <c r="AD83" i="4"/>
  <c r="AD119" i="4"/>
  <c r="AC80" i="4"/>
  <c r="AD91" i="4"/>
  <c r="AC94" i="4"/>
  <c r="AD44" i="4"/>
  <c r="AD84" i="4"/>
  <c r="AC90" i="4"/>
  <c r="AD120" i="4"/>
  <c r="AC95" i="4"/>
  <c r="AD81" i="4"/>
  <c r="AC104" i="4"/>
  <c r="AC27" i="4"/>
  <c r="AD26" i="4"/>
  <c r="AC39" i="4"/>
  <c r="V98" i="4"/>
  <c r="V86" i="4"/>
  <c r="V66" i="4"/>
  <c r="V63" i="4"/>
  <c r="V96" i="4"/>
  <c r="V64" i="4"/>
  <c r="V121" i="4"/>
  <c r="V101" i="4"/>
  <c r="V69" i="4"/>
  <c r="V103" i="4"/>
  <c r="V89" i="4"/>
  <c r="V57" i="4"/>
  <c r="V110" i="4"/>
  <c r="AD32" i="4"/>
  <c r="V60" i="4"/>
  <c r="V114" i="4"/>
  <c r="V82" i="4"/>
  <c r="V50" i="4"/>
  <c r="V70" i="4"/>
  <c r="V112" i="4"/>
  <c r="V80" i="4"/>
  <c r="V48" i="4"/>
  <c r="V87" i="4"/>
  <c r="V85" i="4"/>
  <c r="V84" i="4"/>
  <c r="Q25" i="4"/>
  <c r="R25" i="4"/>
  <c r="W25" i="4"/>
  <c r="V117" i="4"/>
  <c r="V53" i="4"/>
  <c r="V109" i="4"/>
  <c r="V77" i="4"/>
  <c r="V45" i="4"/>
  <c r="V75" i="4"/>
  <c r="V43" i="4"/>
  <c r="V95" i="4"/>
  <c r="V55" i="4"/>
  <c r="V99" i="4"/>
  <c r="V67" i="4"/>
  <c r="V71" i="4"/>
  <c r="V47" i="4"/>
  <c r="C13" i="18"/>
  <c r="C12" i="18"/>
  <c r="V90" i="4"/>
  <c r="V88" i="4"/>
  <c r="V46" i="4"/>
  <c r="Q33" i="4"/>
  <c r="R33" i="4"/>
  <c r="AD93" i="4"/>
  <c r="AD96" i="4"/>
  <c r="V78" i="4"/>
  <c r="V93" i="4"/>
  <c r="V61" i="4"/>
  <c r="V91" i="4"/>
  <c r="V59" i="4"/>
  <c r="V113" i="4"/>
  <c r="V81" i="4"/>
  <c r="V49" i="4"/>
  <c r="V102" i="4"/>
  <c r="R39" i="4"/>
  <c r="AD74" i="4"/>
  <c r="AC71" i="4"/>
  <c r="V83" i="4"/>
  <c r="V51" i="4"/>
  <c r="V106" i="4"/>
  <c r="V74" i="4"/>
  <c r="V111" i="4"/>
  <c r="V104" i="4"/>
  <c r="V79" i="4"/>
  <c r="Q37" i="4"/>
  <c r="R37" i="4"/>
  <c r="V58" i="4"/>
  <c r="Q40" i="4"/>
  <c r="R40" i="4"/>
  <c r="AC29" i="4"/>
  <c r="AC53" i="4"/>
  <c r="AC47" i="4"/>
  <c r="Q42" i="4"/>
  <c r="R42" i="4"/>
  <c r="V120" i="4"/>
  <c r="V56" i="4"/>
  <c r="Q36" i="4"/>
  <c r="R36" i="4"/>
  <c r="AC115" i="4"/>
  <c r="Q27" i="4"/>
  <c r="R27" i="4"/>
  <c r="Q32" i="4"/>
  <c r="R32" i="4"/>
  <c r="AC75" i="4"/>
  <c r="AC98" i="4"/>
  <c r="Q34" i="4"/>
  <c r="R34" i="4"/>
  <c r="Q28" i="4"/>
  <c r="R28" i="4"/>
  <c r="AC105" i="4"/>
  <c r="AC110" i="4"/>
  <c r="Q38" i="4"/>
  <c r="R38" i="4"/>
  <c r="AC43" i="4"/>
  <c r="AD77" i="4"/>
  <c r="AC86" i="4"/>
  <c r="AC60" i="4"/>
  <c r="V105" i="4"/>
  <c r="V73" i="4"/>
  <c r="V72" i="4"/>
  <c r="V94" i="4"/>
  <c r="V62" i="4"/>
  <c r="Q31" i="4"/>
  <c r="Q26" i="4"/>
  <c r="R26" i="4"/>
  <c r="V119" i="4"/>
  <c r="Q30" i="4"/>
  <c r="R30" i="4"/>
  <c r="Q35" i="4"/>
  <c r="R35" i="4"/>
  <c r="V97" i="4"/>
  <c r="V65" i="4"/>
  <c r="V118" i="4"/>
  <c r="V54" i="4"/>
  <c r="AC36" i="4"/>
  <c r="AC79" i="4"/>
  <c r="AC56" i="4"/>
  <c r="AD62" i="4"/>
  <c r="AD109" i="4"/>
  <c r="AC52" i="4"/>
  <c r="AC48" i="4"/>
  <c r="AC116" i="4"/>
  <c r="AC102" i="4"/>
  <c r="AC76" i="4"/>
  <c r="AC67" i="4"/>
  <c r="U32" i="4"/>
  <c r="W32" i="4"/>
  <c r="X32" i="4" s="1"/>
  <c r="W28" i="4"/>
  <c r="X28" i="4" s="1"/>
  <c r="U28" i="4"/>
  <c r="W27" i="4"/>
  <c r="U27" i="4"/>
  <c r="W36" i="4"/>
  <c r="X36" i="4" s="1"/>
  <c r="U36" i="4"/>
  <c r="U39" i="4"/>
  <c r="W39" i="4"/>
  <c r="X39" i="4" s="1"/>
  <c r="U41" i="4"/>
  <c r="V41" i="4" s="1"/>
  <c r="W41" i="4"/>
  <c r="W34" i="4"/>
  <c r="X34" i="4" s="1"/>
  <c r="U34" i="4"/>
  <c r="W35" i="4"/>
  <c r="X35" i="4" s="1"/>
  <c r="U35" i="4"/>
  <c r="W38" i="4"/>
  <c r="X38" i="4" s="1"/>
  <c r="U38" i="4"/>
  <c r="W26" i="4"/>
  <c r="U26" i="4"/>
  <c r="W42" i="4"/>
  <c r="U42" i="4"/>
  <c r="W30" i="4"/>
  <c r="X30" i="4" s="1"/>
  <c r="U30" i="4"/>
  <c r="W29" i="4"/>
  <c r="X29" i="4" s="1"/>
  <c r="V29" i="4"/>
  <c r="U40" i="4"/>
  <c r="W40" i="4"/>
  <c r="W31" i="4"/>
  <c r="X31" i="4" s="1"/>
  <c r="U31" i="4"/>
  <c r="W37" i="4"/>
  <c r="X37" i="4" s="1"/>
  <c r="U37" i="4"/>
  <c r="AD87" i="4"/>
  <c r="AC50" i="4"/>
  <c r="AD112" i="4"/>
  <c r="AD59" i="4"/>
  <c r="AC92" i="4"/>
  <c r="AC40" i="4"/>
  <c r="AD31" i="4"/>
  <c r="AC106" i="4"/>
  <c r="AC121" i="4"/>
  <c r="AC51" i="4"/>
  <c r="AD99" i="4"/>
  <c r="AC63" i="4"/>
  <c r="AC111" i="4"/>
  <c r="AD68" i="4"/>
  <c r="AC72" i="4"/>
  <c r="AC64" i="4"/>
  <c r="AC82" i="4"/>
  <c r="AC54" i="4"/>
  <c r="AC61" i="4"/>
  <c r="AD118" i="4"/>
  <c r="AC28" i="4"/>
  <c r="AC103" i="4"/>
  <c r="AC38" i="4"/>
  <c r="AC88" i="4"/>
  <c r="AC30" i="4"/>
  <c r="AC34" i="4"/>
  <c r="AC69" i="4"/>
  <c r="AC89" i="4"/>
  <c r="AC97" i="4"/>
  <c r="AC58" i="4"/>
  <c r="AC78" i="4"/>
  <c r="D13" i="18"/>
  <c r="D15" i="18" s="1"/>
  <c r="E12" i="18"/>
  <c r="E15" i="18" s="1"/>
  <c r="F7" i="18"/>
  <c r="AD73" i="4"/>
  <c r="AC73" i="4"/>
  <c r="AD49" i="4"/>
  <c r="AC49" i="4"/>
  <c r="AD57" i="4"/>
  <c r="AC57" i="4"/>
  <c r="AD41" i="4"/>
  <c r="AC41" i="4"/>
  <c r="AD65" i="4"/>
  <c r="AC65" i="4"/>
  <c r="AD33" i="4"/>
  <c r="AC33" i="4"/>
  <c r="C29" i="17" l="1"/>
  <c r="C37" i="17"/>
  <c r="F37" i="17" s="1"/>
  <c r="X27" i="4"/>
  <c r="X26" i="4"/>
  <c r="F36" i="17"/>
  <c r="F35" i="17"/>
  <c r="V42" i="4"/>
  <c r="V25" i="4"/>
  <c r="C15" i="18"/>
  <c r="V36" i="4"/>
  <c r="V32" i="4"/>
  <c r="V33" i="4"/>
  <c r="V40" i="4"/>
  <c r="V28" i="4"/>
  <c r="V37" i="4"/>
  <c r="V30" i="4"/>
  <c r="V39" i="4"/>
  <c r="V35" i="4"/>
  <c r="V31" i="4"/>
  <c r="V26" i="4"/>
  <c r="V34" i="4"/>
  <c r="V27" i="4"/>
  <c r="V38" i="4"/>
  <c r="E16" i="18"/>
  <c r="E17" i="18" s="1"/>
  <c r="E18" i="18" s="1"/>
  <c r="E19" i="18" s="1"/>
  <c r="F13" i="18"/>
  <c r="F12" i="18"/>
  <c r="F25" i="17"/>
  <c r="F22" i="17"/>
  <c r="F28" i="17"/>
  <c r="F26" i="17"/>
  <c r="F27" i="17"/>
  <c r="D16" i="18"/>
  <c r="C37" i="18"/>
  <c r="C49" i="18" s="1"/>
  <c r="C50" i="18" s="1"/>
  <c r="C38" i="17" l="1"/>
  <c r="C41" i="18"/>
  <c r="F49" i="18"/>
  <c r="F50" i="18"/>
  <c r="C42" i="18"/>
  <c r="C43" i="18" s="1"/>
  <c r="X25" i="4"/>
  <c r="C8" i="17" s="1"/>
  <c r="F34" i="17"/>
  <c r="C16" i="18"/>
  <c r="C17" i="18" s="1"/>
  <c r="C18" i="18" s="1"/>
  <c r="C19" i="18" s="1"/>
  <c r="C20" i="18" s="1"/>
  <c r="F15" i="18"/>
  <c r="F37" i="18"/>
  <c r="F34" i="18"/>
  <c r="D17" i="18"/>
  <c r="D18" i="18" s="1"/>
  <c r="E20" i="18"/>
  <c r="E21" i="18" s="1"/>
  <c r="F29" i="17"/>
  <c r="C30" i="17" l="1"/>
  <c r="C31" i="17" s="1"/>
  <c r="D42" i="18"/>
  <c r="E42" i="18" s="1" a="1"/>
  <c r="E42" i="18" s="1"/>
  <c r="F8" i="17"/>
  <c r="C7" i="17"/>
  <c r="F7" i="17" s="1"/>
  <c r="F38" i="17"/>
  <c r="F16" i="18"/>
  <c r="F18" i="18"/>
  <c r="C21" i="18"/>
  <c r="C22" i="18" s="1"/>
  <c r="F41" i="18"/>
  <c r="F38" i="18"/>
  <c r="F39" i="18"/>
  <c r="F40" i="18"/>
  <c r="F17" i="18"/>
  <c r="D19" i="18"/>
  <c r="D20" i="18" s="1"/>
  <c r="F20" i="18" s="1"/>
  <c r="E22" i="18"/>
  <c r="C23" i="18" l="1"/>
  <c r="C24" i="18" s="1"/>
  <c r="E23" i="18"/>
  <c r="E24" i="18" s="1"/>
  <c r="D43" i="18"/>
  <c r="D30" i="17"/>
  <c r="D31" i="17" s="1"/>
  <c r="D32" i="17" s="1"/>
  <c r="C9" i="17"/>
  <c r="F9" i="17" s="1"/>
  <c r="F19" i="18"/>
  <c r="D21" i="18"/>
  <c r="E25" i="18" l="1"/>
  <c r="E27" i="18" s="1"/>
  <c r="E43" i="18"/>
  <c r="F43" i="18" s="1"/>
  <c r="E30" i="17"/>
  <c r="F42" i="18"/>
  <c r="C10" i="17"/>
  <c r="F10" i="17" s="1"/>
  <c r="D22" i="18"/>
  <c r="F21" i="18"/>
  <c r="C25" i="18"/>
  <c r="C27" i="18" s="1"/>
  <c r="E28" i="18" l="1"/>
  <c r="E29" i="18" s="1"/>
  <c r="E32" i="18" s="1"/>
  <c r="E44" i="18" s="1"/>
  <c r="E31" i="18"/>
  <c r="F22" i="18"/>
  <c r="F46" i="18"/>
  <c r="E31" i="17"/>
  <c r="F30" i="17"/>
  <c r="C11" i="17"/>
  <c r="F11" i="17" s="1"/>
  <c r="D23" i="18"/>
  <c r="F47" i="18" s="1"/>
  <c r="E32" i="17" l="1"/>
  <c r="F31" i="17"/>
  <c r="C12" i="17"/>
  <c r="C13" i="17" s="1"/>
  <c r="C28" i="18"/>
  <c r="D24" i="18"/>
  <c r="F23" i="18"/>
  <c r="F24" i="18" l="1"/>
  <c r="F48" i="18"/>
  <c r="F12" i="17"/>
  <c r="C14" i="17"/>
  <c r="F13" i="17"/>
  <c r="D25" i="18"/>
  <c r="C29" i="18"/>
  <c r="D27" i="18" l="1"/>
  <c r="D31" i="18" s="1"/>
  <c r="F25" i="18"/>
  <c r="C15" i="17"/>
  <c r="C18" i="17" s="1"/>
  <c r="C31" i="18" s="1"/>
  <c r="F14" i="17"/>
  <c r="F15" i="17" l="1"/>
  <c r="D28" i="18"/>
  <c r="F28" i="18" s="1"/>
  <c r="F27" i="18"/>
  <c r="D29" i="18" l="1"/>
  <c r="D32" i="18" s="1"/>
  <c r="D44" i="18" s="1"/>
  <c r="C19" i="17"/>
  <c r="F19" i="17" s="1"/>
  <c r="F18" i="17"/>
  <c r="F31" i="18" s="1"/>
  <c r="F29" i="18" l="1"/>
  <c r="C20" i="17"/>
  <c r="C32" i="18" s="1"/>
  <c r="C44" i="18" l="1"/>
  <c r="C32" i="17"/>
  <c r="F20" i="17"/>
  <c r="F32" i="18" l="1"/>
  <c r="F44" i="18" s="1"/>
  <c r="F3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Marcus Alexander</author>
    <author>Tian Coulsting</author>
  </authors>
  <commentList>
    <comment ref="D6" authorId="0" shapeId="0" xr:uid="{B3F1B00A-8C71-439F-8AB4-856E2C28F52B}">
      <text>
        <r>
          <rPr>
            <b/>
            <sz val="9"/>
            <color indexed="81"/>
            <rFont val="Tahoma"/>
            <family val="2"/>
          </rPr>
          <t>Select from drop-down menu</t>
        </r>
      </text>
    </comment>
    <comment ref="D11" authorId="1" shapeId="0" xr:uid="{AE6AE78D-18E7-4BDD-A8C3-C30557177ECB}">
      <text>
        <r>
          <rPr>
            <b/>
            <sz val="9"/>
            <color indexed="81"/>
            <rFont val="Tahoma"/>
            <family val="2"/>
          </rPr>
          <t>Enter site heat fuel(s) cost</t>
        </r>
      </text>
    </comment>
    <comment ref="D14" authorId="1" shapeId="0" xr:uid="{70DB18AF-C413-4741-8AD9-65F0C4ACE44F}">
      <text>
        <r>
          <rPr>
            <b/>
            <sz val="9"/>
            <color indexed="81"/>
            <rFont val="Tahoma"/>
            <family val="2"/>
          </rPr>
          <t>Enter site specific cost for electricity if known</t>
        </r>
      </text>
    </comment>
    <comment ref="D15" authorId="1" shapeId="0" xr:uid="{2DD13BB8-ADA8-41E6-BAB8-29E62E547067}">
      <text>
        <r>
          <rPr>
            <b/>
            <sz val="9"/>
            <color indexed="81"/>
            <rFont val="Tahoma"/>
            <family val="2"/>
          </rPr>
          <t>Enter site specific cost for future 
BMS system including manager</t>
        </r>
      </text>
    </comment>
    <comment ref="S22" authorId="0" shapeId="0" xr:uid="{DB7931BC-905E-4660-ADAB-8836E55FDAC2}">
      <text>
        <r>
          <rPr>
            <b/>
            <sz val="9"/>
            <color indexed="81"/>
            <rFont val="Tahoma"/>
            <family val="2"/>
          </rPr>
          <t>Enter number of control points in column S if known. 
Assumed number taken from techno-economic assumptions which are based on building category and size</t>
        </r>
      </text>
    </comment>
    <comment ref="G23" authorId="1" shapeId="0" xr:uid="{3F8BF237-D53A-4E69-8B0F-B38D0F2B38C0}">
      <text>
        <r>
          <rPr>
            <b/>
            <sz val="9"/>
            <color indexed="81"/>
            <rFont val="Tahoma"/>
            <family val="2"/>
          </rPr>
          <t>Base assumption is 100% where no knowledge from site</t>
        </r>
      </text>
    </comment>
    <comment ref="H23" authorId="1" shapeId="0" xr:uid="{41FE6D28-E244-42F4-B352-305E6DE79B18}">
      <text>
        <r>
          <rPr>
            <b/>
            <sz val="9"/>
            <color indexed="81"/>
            <rFont val="Tahoma"/>
            <family val="2"/>
          </rPr>
          <t>Select building category based on building type and size. This will affect cost for recommissioning / installing new system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<sst xmlns="http://schemas.openxmlformats.org/spreadsheetml/2006/main" count="438" uniqueCount="269">
  <si>
    <t>Should further information be required, please contact us at:</t>
  </si>
  <si>
    <t>psdecarbguidance@es.catapult.org.uk</t>
  </si>
  <si>
    <t>Guidance</t>
  </si>
  <si>
    <t>This estimator is designed to provide an estimation of costs and energy efficiency benefits of upgrading or installing a new building management system (BMS) on a campus style site or at an organisational portfolio level. Using this estimator also provides a repository of site information to be assembled in a consistent format.
This guidance is produced as part of the development of a consistent approach to assessing decarbonisation for scaled delivery.</t>
  </si>
  <si>
    <t>The benefits from fitting or upgrading a BMS will be dependent on the condition of the current system. A site-by-site assessment should be made as to whether these savings should apply to both electricity and heat. In general, large savings in electricity demand should not be expected for sites with predominantly natural ventilation but might be achievable for sites with large air handling and air conditioning systems. Where annual savings cannot be applied to both electric and heat consumption on site (e.g., a site is mostly naturally ventilated but the heating controls need upgrading) then demand should be split, and savings applied to each accordingly.</t>
  </si>
  <si>
    <t>General Notes</t>
  </si>
  <si>
    <t>1) "Site Zone" defined by the area which an existing BMS head end / supervisor serves or where a proposed new head end / supervisor could serve</t>
  </si>
  <si>
    <r>
      <t>2) Start by inputting data into the "</t>
    </r>
    <r>
      <rPr>
        <i/>
        <sz val="11"/>
        <color theme="1"/>
        <rFont val="Segoe UI"/>
        <family val="2"/>
      </rPr>
      <t>Building Breakdown"</t>
    </r>
    <r>
      <rPr>
        <sz val="11"/>
        <color theme="1"/>
        <rFont val="Segoe UI"/>
        <family val="2"/>
      </rPr>
      <t xml:space="preserve"> tab</t>
    </r>
  </si>
  <si>
    <t>3) All salmon pink cells are for user input</t>
  </si>
  <si>
    <t>4) All yellow cells are provided as user inputs from other model, where relevant</t>
  </si>
  <si>
    <t>5) All blue cells are automatically calculated based on user input and data from assumptions</t>
  </si>
  <si>
    <t>Tabs</t>
  </si>
  <si>
    <r>
      <t xml:space="preserve">Building Breakdown </t>
    </r>
    <r>
      <rPr>
        <sz val="11"/>
        <color theme="1"/>
        <rFont val="Segoe UI"/>
        <family val="2"/>
      </rPr>
      <t>contains all building specific information and calculations as well as cost of heat / electricity and requirement for escorts on site. This is the main input and model calculation sheet for the model</t>
    </r>
  </si>
  <si>
    <r>
      <t xml:space="preserve">Option 1 Cost &amp; Savings </t>
    </r>
    <r>
      <rPr>
        <sz val="11"/>
        <color theme="1"/>
        <rFont val="Segoe UI"/>
        <family val="2"/>
      </rPr>
      <t>provides the outputs based on upgrading the existing BMS - Do minimum:
   Restore existing BMS plant and equipment control strategy at each site
   In-depth survey of control systems
   Change wireless connections to site network
Costs are based on examples developed as part of the Energy Systems Catapult Modern Energy Partners programme</t>
    </r>
  </si>
  <si>
    <r>
      <t>Option 2 Cost &amp; Savings</t>
    </r>
    <r>
      <rPr>
        <sz val="11"/>
        <rFont val="Segoe UI"/>
        <family val="2"/>
      </rPr>
      <t xml:space="preserve"> provides the outputs based on installing a new BMS on site - Do maximum:
   Upgrade BMS Supervisor software
   Replace obsolete BMS controllers
Costs are based on examples developed as part of the Energy Systems Catapult Modern Energy Partners programme</t>
    </r>
  </si>
  <si>
    <t>How to use</t>
  </si>
  <si>
    <t>Review outputs - Option 2 will require additional information for each site zone:
1) Input number of plantrooms not automatically captured through building categories (i.e., plantrooms associated with accommodation blocks, offices, training spaces, etc.)
2) Input head end requirement (Y / N) 
3) Input number of days required for work (this will inform cost of escorts)</t>
  </si>
  <si>
    <t>Building Breakdown</t>
  </si>
  <si>
    <t>Site details</t>
  </si>
  <si>
    <t>Site Data</t>
  </si>
  <si>
    <t>Site Escorts required?</t>
  </si>
  <si>
    <t>Percentage heat savings adjustment</t>
  </si>
  <si>
    <t>Default 100%</t>
  </si>
  <si>
    <t>Percentage electricity savings adjustment</t>
  </si>
  <si>
    <t>Cost Inputs</t>
  </si>
  <si>
    <t>Heat and electricity costs</t>
  </si>
  <si>
    <t>Heat fuel 1 £/kWh</t>
  </si>
  <si>
    <t>Natural Gas</t>
  </si>
  <si>
    <t>Specify heat fuel source</t>
  </si>
  <si>
    <t>Heat fuel 2 £/kWh (if applicable)</t>
  </si>
  <si>
    <t>Specify heat fuel source (if applicable)</t>
  </si>
  <si>
    <t>Heat fuel 3 £/kWh (if applicable)</t>
  </si>
  <si>
    <t>Cost of electricity (£/kWh)</t>
  </si>
  <si>
    <t>Annual BMS operational costs (inc manager)</t>
  </si>
  <si>
    <t>Default £70,000</t>
  </si>
  <si>
    <t>Breakout of Heat loads</t>
  </si>
  <si>
    <t>Other loads included in heat demand</t>
  </si>
  <si>
    <t>Catering</t>
  </si>
  <si>
    <t>Laundry</t>
  </si>
  <si>
    <t>Other</t>
  </si>
  <si>
    <t>Model</t>
  </si>
  <si>
    <t>Automatically generated 
(input if known data available)</t>
  </si>
  <si>
    <t>Option 1: Recommissioning / install new where not existing</t>
  </si>
  <si>
    <t>Option 2: Fully update system and connect to head end</t>
  </si>
  <si>
    <t>Building ID</t>
  </si>
  <si>
    <t>Building Location / Name</t>
  </si>
  <si>
    <t>Site Zone</t>
  </si>
  <si>
    <t>Heat Fuel Type</t>
  </si>
  <si>
    <t xml:space="preserve">Floor Area </t>
  </si>
  <si>
    <t>Percentage of Building for BMS upgrade</t>
  </si>
  <si>
    <t>Building Category</t>
  </si>
  <si>
    <t>State of existing BMS</t>
  </si>
  <si>
    <t>Annual Electricity Consumption</t>
  </si>
  <si>
    <t>Annual Heat Demand</t>
  </si>
  <si>
    <t>Annual Heat Demand (catering/laundry removed)</t>
  </si>
  <si>
    <t>Applicable Floor Area</t>
  </si>
  <si>
    <t>Affected Annual Heat and Hot Water Demand</t>
  </si>
  <si>
    <t>Affected Annual Electricity Consumption</t>
  </si>
  <si>
    <t>Survey Contractor Time</t>
  </si>
  <si>
    <t>Contractor Cost for Survey</t>
  </si>
  <si>
    <t>Survey Analysis and Report</t>
  </si>
  <si>
    <t>Estimated Control Points</t>
  </si>
  <si>
    <t>Known Control Points</t>
  </si>
  <si>
    <t>Contractor Recommissioning Cost</t>
  </si>
  <si>
    <t>Total Cost of Recommissioning</t>
  </si>
  <si>
    <t>Cost to Install New BMS</t>
  </si>
  <si>
    <t>Option 1 Cost</t>
  </si>
  <si>
    <t>Potential Energy Savings</t>
  </si>
  <si>
    <t xml:space="preserve">Heat Savings </t>
  </si>
  <si>
    <t xml:space="preserve">Electricity Savings </t>
  </si>
  <si>
    <t>Heat Savings</t>
  </si>
  <si>
    <t>Electricity Savings</t>
  </si>
  <si>
    <t>Select</t>
  </si>
  <si>
    <r>
      <t>(m</t>
    </r>
    <r>
      <rPr>
        <i/>
        <vertAlign val="superscript"/>
        <sz val="11"/>
        <color theme="0"/>
        <rFont val="Calibri"/>
        <family val="2"/>
        <scheme val="minor"/>
      </rPr>
      <t>2</t>
    </r>
    <r>
      <rPr>
        <i/>
        <sz val="11"/>
        <color theme="0"/>
        <rFont val="Calibri"/>
        <family val="2"/>
        <scheme val="minor"/>
      </rPr>
      <t>)</t>
    </r>
  </si>
  <si>
    <t>%</t>
  </si>
  <si>
    <t>(kWh/yr)</t>
  </si>
  <si>
    <r>
      <t>(m</t>
    </r>
    <r>
      <rPr>
        <b/>
        <i/>
        <vertAlign val="superscript"/>
        <sz val="11"/>
        <color theme="0"/>
        <rFont val="Calibri"/>
        <family val="2"/>
        <scheme val="minor"/>
      </rPr>
      <t>2</t>
    </r>
    <r>
      <rPr>
        <b/>
        <i/>
        <sz val="11"/>
        <color theme="0"/>
        <rFont val="Calibri"/>
        <family val="2"/>
        <scheme val="minor"/>
      </rPr>
      <t>)</t>
    </r>
  </si>
  <si>
    <t>(days)</t>
  </si>
  <si>
    <t>(£)</t>
  </si>
  <si>
    <t>(no.)</t>
  </si>
  <si>
    <t>(%)</t>
  </si>
  <si>
    <t>Option 1 Cost &amp; Savings</t>
  </si>
  <si>
    <t>Zone</t>
  </si>
  <si>
    <t>BMS: Option 1 - Do Minimum</t>
  </si>
  <si>
    <t>Site Zone 1</t>
  </si>
  <si>
    <t>Site Zone 2</t>
  </si>
  <si>
    <t>Site Zone 3</t>
  </si>
  <si>
    <t>Whole Site</t>
  </si>
  <si>
    <r>
      <t>Area (m</t>
    </r>
    <r>
      <rPr>
        <vertAlign val="superscript"/>
        <sz val="9"/>
        <color rgb="FF000000"/>
        <rFont val="Calibri"/>
        <family val="2"/>
      </rPr>
      <t>2</t>
    </r>
    <r>
      <rPr>
        <sz val="9"/>
        <color rgb="FF000000"/>
        <rFont val="Calibri"/>
        <family val="2"/>
      </rPr>
      <t>)</t>
    </r>
  </si>
  <si>
    <t>BMS Condition Survey and Scope of Works Prep Document</t>
  </si>
  <si>
    <t>Cost of Recommissioning Existing BMS Systems and Installing New BMS where None Exists</t>
  </si>
  <si>
    <t>Sub-total</t>
  </si>
  <si>
    <t>Additional Cost of Phased Works</t>
  </si>
  <si>
    <t>Contingency</t>
  </si>
  <si>
    <t>Fees @ 10%</t>
  </si>
  <si>
    <t>Cost of Escorts - for surveys</t>
  </si>
  <si>
    <t>Cost of Escorts - for re-commissioning</t>
  </si>
  <si>
    <t>Total Cost (excl. VAT)</t>
  </si>
  <si>
    <t>VAT</t>
  </si>
  <si>
    <t>Total Cost (incl. VAT)</t>
  </si>
  <si>
    <t>Heat fuel 1 savings (kWh/annum)</t>
  </si>
  <si>
    <t>Heat fuel 1</t>
  </si>
  <si>
    <t>Heat fuel 2 savings (kWh/annum)</t>
  </si>
  <si>
    <t>Heat fuel 2</t>
  </si>
  <si>
    <t>Heat fuel 3 savings (kWh/annum)</t>
  </si>
  <si>
    <t>Heat fuel 3</t>
  </si>
  <si>
    <t>Electricity savings (kWh/annum)</t>
  </si>
  <si>
    <t>Heat fuel 1 cost savings (£/annum)</t>
  </si>
  <si>
    <t>Heat fuel 2 cost savings (£/annum)</t>
  </si>
  <si>
    <t>Heat fuel 3 cost savings (£/annum)</t>
  </si>
  <si>
    <t>Electricity cost savings (£/annum)</t>
  </si>
  <si>
    <t>Additional OPEX costs (£/annum)</t>
  </si>
  <si>
    <t>Net cost savings per year (£/annum)</t>
  </si>
  <si>
    <t>Simple Payback (years)</t>
  </si>
  <si>
    <r>
      <t>Heat fuel 1 carbon savings (kgCO</t>
    </r>
    <r>
      <rPr>
        <vertAlign val="subscript"/>
        <sz val="9"/>
        <rFont val="Calibri"/>
        <family val="2"/>
      </rPr>
      <t>2</t>
    </r>
    <r>
      <rPr>
        <sz val="9"/>
        <rFont val="Calibri"/>
        <family val="2"/>
      </rPr>
      <t>e/annum)</t>
    </r>
  </si>
  <si>
    <r>
      <t>Heat fuel 2 carbon savings (kgCO</t>
    </r>
    <r>
      <rPr>
        <vertAlign val="subscript"/>
        <sz val="9"/>
        <rFont val="Calibri"/>
        <family val="2"/>
      </rPr>
      <t>2</t>
    </r>
    <r>
      <rPr>
        <sz val="9"/>
        <rFont val="Calibri"/>
        <family val="2"/>
      </rPr>
      <t>e/annum)</t>
    </r>
  </si>
  <si>
    <r>
      <t>Heat fuel 3 carbon savings (kgCO</t>
    </r>
    <r>
      <rPr>
        <vertAlign val="subscript"/>
        <sz val="9"/>
        <rFont val="Calibri"/>
        <family val="2"/>
      </rPr>
      <t>2</t>
    </r>
    <r>
      <rPr>
        <sz val="9"/>
        <rFont val="Calibri"/>
        <family val="2"/>
      </rPr>
      <t>e/annum)</t>
    </r>
  </si>
  <si>
    <r>
      <t>Electricity carbon savings (kgCO</t>
    </r>
    <r>
      <rPr>
        <vertAlign val="subscript"/>
        <sz val="9"/>
        <rFont val="Calibri"/>
        <family val="2"/>
      </rPr>
      <t>2</t>
    </r>
    <r>
      <rPr>
        <sz val="9"/>
        <rFont val="Calibri"/>
        <family val="2"/>
      </rPr>
      <t>e/annum)</t>
    </r>
  </si>
  <si>
    <r>
      <t>Carbon emissions savings per year (kgCO</t>
    </r>
    <r>
      <rPr>
        <b/>
        <vertAlign val="subscript"/>
        <sz val="9"/>
        <color rgb="FF000000"/>
        <rFont val="Calibri"/>
        <family val="2"/>
        <scheme val="minor"/>
      </rPr>
      <t>2</t>
    </r>
    <r>
      <rPr>
        <b/>
        <sz val="9"/>
        <color rgb="FF000000"/>
        <rFont val="Calibri"/>
        <family val="2"/>
        <scheme val="minor"/>
      </rPr>
      <t>e/annum)</t>
    </r>
  </si>
  <si>
    <t>Option 2 Cost &amp; Savings</t>
  </si>
  <si>
    <t>BMS: Option 2 - Do Maximum</t>
  </si>
  <si>
    <t>Buildings dedicated to plant</t>
  </si>
  <si>
    <t>Plantrooms associated to buildings</t>
  </si>
  <si>
    <t>Head end required? (Y/N)</t>
  </si>
  <si>
    <t>N</t>
  </si>
  <si>
    <t>Number of days for work</t>
  </si>
  <si>
    <t>Do Maximum Option</t>
  </si>
  <si>
    <t>Upgrade the BMS supervisor software, change wireless connections to existing site network</t>
  </si>
  <si>
    <t>Replace obsolete outstations/controllers</t>
  </si>
  <si>
    <t>Allowance for Head End</t>
  </si>
  <si>
    <t>Preliminaries @ 12%</t>
  </si>
  <si>
    <t>Overheads and profit @ 7.5%</t>
  </si>
  <si>
    <t>Contingency @ 10%</t>
  </si>
  <si>
    <t>Cost of Escorts - assume 10 per week</t>
  </si>
  <si>
    <t>VAT (assumed at 20%)</t>
  </si>
  <si>
    <t>Option 2: Total Cost (incl. VAT)</t>
  </si>
  <si>
    <t>Option 1 + Option 2: Total Cost (excl. VAT)</t>
  </si>
  <si>
    <t>Option 1 + Option 2: Total Cost (incl. VAT)</t>
  </si>
  <si>
    <t>User Data Source and Assumptions</t>
  </si>
  <si>
    <t>Tab</t>
  </si>
  <si>
    <t>Input</t>
  </si>
  <si>
    <t>Notes on data sources and assumptions</t>
  </si>
  <si>
    <t>Link</t>
  </si>
  <si>
    <t>Options 1 &amp; 2 Cost &amp; Savings</t>
  </si>
  <si>
    <t>Preliminaries</t>
  </si>
  <si>
    <t>Cost of Phased Works</t>
  </si>
  <si>
    <t>Overheads and Profit</t>
  </si>
  <si>
    <t>Fees</t>
  </si>
  <si>
    <t>Cost of heat (£/kWh)</t>
  </si>
  <si>
    <t xml:space="preserve">Annual Heat Consumption </t>
  </si>
  <si>
    <t>Control Points (no. of)</t>
  </si>
  <si>
    <t>Version Control</t>
  </si>
  <si>
    <t>Version Number</t>
  </si>
  <si>
    <t>Date Produced</t>
  </si>
  <si>
    <t>Owner Initials</t>
  </si>
  <si>
    <t>Key Changes</t>
  </si>
  <si>
    <t>MA</t>
  </si>
  <si>
    <t>Initial Release</t>
  </si>
  <si>
    <t>CB</t>
  </si>
  <si>
    <t>Included new input for annual BMS costs (override)</t>
  </si>
  <si>
    <t>Updated output page</t>
  </si>
  <si>
    <t>Addition of carbon reduction per annum, user guidance updates and updated costs</t>
  </si>
  <si>
    <t xml:space="preserve">Refresh for PSDG webpages </t>
  </si>
  <si>
    <t xml:space="preserve">Emissions </t>
  </si>
  <si>
    <t>Gross</t>
  </si>
  <si>
    <r>
      <t>kgCO</t>
    </r>
    <r>
      <rPr>
        <b/>
        <vertAlign val="subscript"/>
        <sz val="11"/>
        <color theme="1"/>
        <rFont val="Calibri"/>
        <family val="2"/>
        <scheme val="minor"/>
      </rPr>
      <t>2</t>
    </r>
    <r>
      <rPr>
        <b/>
        <sz val="11"/>
        <color theme="1"/>
        <rFont val="Calibri"/>
        <family val="2"/>
        <scheme val="minor"/>
      </rPr>
      <t>e/kWh</t>
    </r>
  </si>
  <si>
    <t>Source</t>
  </si>
  <si>
    <t>Scope</t>
  </si>
  <si>
    <t>GHG reporting 2022</t>
  </si>
  <si>
    <t>Biomass</t>
  </si>
  <si>
    <t>Scope 1</t>
  </si>
  <si>
    <t>Burning Oil</t>
  </si>
  <si>
    <t>LPG</t>
  </si>
  <si>
    <t>Electricity Grid</t>
  </si>
  <si>
    <t>Scope 2</t>
  </si>
  <si>
    <t>Recommissioning of existing assets</t>
  </si>
  <si>
    <t>Area range (m2)</t>
  </si>
  <si>
    <t>Department</t>
  </si>
  <si>
    <t>Min</t>
  </si>
  <si>
    <t>Max</t>
  </si>
  <si>
    <t>Contractor Survey Time (days)</t>
  </si>
  <si>
    <t>Number of Control Points</t>
  </si>
  <si>
    <t>https://www.ons.gov.uk/economy/inflationandpriceindices/timeseries/l55o/mm23</t>
  </si>
  <si>
    <t>Appraisals Survey</t>
  </si>
  <si>
    <t>Accommodation 1</t>
  </si>
  <si>
    <t>Accommodation 2</t>
  </si>
  <si>
    <t>Accommodation 3</t>
  </si>
  <si>
    <t>compound inflation</t>
  </si>
  <si>
    <t>Plant room (generator)</t>
  </si>
  <si>
    <t>Plant room (energy centre)</t>
  </si>
  <si>
    <t>Plant room (main boilerhouse)</t>
  </si>
  <si>
    <t>Kitchen</t>
  </si>
  <si>
    <t>Office 1</t>
  </si>
  <si>
    <t>Office 2</t>
  </si>
  <si>
    <t>Office 3</t>
  </si>
  <si>
    <t>Workshop</t>
  </si>
  <si>
    <t>Gym</t>
  </si>
  <si>
    <t>Education/Training</t>
  </si>
  <si>
    <t>Fees / labour (£)</t>
  </si>
  <si>
    <t>Contractor survey (per day)</t>
  </si>
  <si>
    <t>Survey Analysis and Report (per building)</t>
  </si>
  <si>
    <t>no. buildings</t>
  </si>
  <si>
    <t>Cost per Point for Recommissioning</t>
  </si>
  <si>
    <t>SPONS points data</t>
  </si>
  <si>
    <t>£/point averaged with ratio considering number of plant type</t>
  </si>
  <si>
    <t>Spon's Mechanical and Electrical Services Price Book 2020</t>
  </si>
  <si>
    <t>Commercial office building</t>
  </si>
  <si>
    <t>Cost per Point for New System</t>
  </si>
  <si>
    <t>Average</t>
  </si>
  <si>
    <t>Assumed ratios</t>
  </si>
  <si>
    <t>BEMS Condition Survey and Scope of Works Prep Document</t>
  </si>
  <si>
    <t>Main plant</t>
  </si>
  <si>
    <t>FCUs</t>
  </si>
  <si>
    <t>Energy Savings Depending on Existing BMS State</t>
  </si>
  <si>
    <t>Tenant plant</t>
  </si>
  <si>
    <t>review</t>
  </si>
  <si>
    <t>Energy savings addition for fully controlled and updated system</t>
  </si>
  <si>
    <t>CIBSE Guide H: Examination of data from a number of UK buildings shows avoidable waste levels in the range 25 to 50%; in a well-managed building, avoidable waste levels of below 15% are achieved</t>
  </si>
  <si>
    <t>Not Working</t>
  </si>
  <si>
    <t>Poor</t>
  </si>
  <si>
    <t>Acceptable</t>
  </si>
  <si>
    <t>Good</t>
  </si>
  <si>
    <t>Fuel cost</t>
  </si>
  <si>
    <t>Estimate</t>
  </si>
  <si>
    <t>Additional costs</t>
  </si>
  <si>
    <t>Overheads &amp; profit</t>
  </si>
  <si>
    <t>Cost of Escorts per day</t>
  </si>
  <si>
    <t>Number of Escorts for Survey</t>
  </si>
  <si>
    <t>Number of Escorts for Recommissioning</t>
  </si>
  <si>
    <t>Number of Escorts for Do Max Option</t>
  </si>
  <si>
    <t>Number of days of work for Do Max Option</t>
  </si>
  <si>
    <t>Site 1</t>
  </si>
  <si>
    <t>Site 2</t>
  </si>
  <si>
    <t>Site 3</t>
  </si>
  <si>
    <t>total</t>
  </si>
  <si>
    <t>Fully updating, connecting and installing system costs</t>
  </si>
  <si>
    <t>Need to find out size/complexity of building for context of costs</t>
  </si>
  <si>
    <t>Upgrade the BMS supervisor software, change wirless connections to existing site networks, replace obsolete controllers</t>
  </si>
  <si>
    <t>per m2</t>
  </si>
  <si>
    <t>m2</t>
  </si>
  <si>
    <t>Upgrade the BMS supervisor software, change wireless connections to existing site networks</t>
  </si>
  <si>
    <t>per plantroom</t>
  </si>
  <si>
    <t>Replace obsolete controllers</t>
  </si>
  <si>
    <t>Allowance for Out Station</t>
  </si>
  <si>
    <t>Surveys</t>
  </si>
  <si>
    <t>Head End PC (Monitor
keyboard mouse patch
cable - VPN Master
Hardware. Excludes
connectivity )</t>
  </si>
  <si>
    <t>Medium sized commercial office building</t>
  </si>
  <si>
    <t>Head end equipment (Workstation) £10,000-20,000
Additional remote workstation £5,000-10,000</t>
  </si>
  <si>
    <t>Business Case</t>
  </si>
  <si>
    <t>Opex Costs</t>
  </si>
  <si>
    <t>£/m2</t>
  </si>
  <si>
    <t>Internal estimate</t>
  </si>
  <si>
    <t>All</t>
  </si>
  <si>
    <t>Cost to employ a BMS operator/energy manager to realise energy savings</t>
  </si>
  <si>
    <t>Opex Savings</t>
  </si>
  <si>
    <t>Stafe of Existing BMS</t>
  </si>
  <si>
    <t>Site Zones</t>
  </si>
  <si>
    <t>Site Escort Requirements</t>
  </si>
  <si>
    <t>Not working</t>
  </si>
  <si>
    <t>Yes</t>
  </si>
  <si>
    <t>No</t>
  </si>
  <si>
    <t>This tool can be used standalone or as part of the Public Sector Decarbonisation Guidance feasibility and design process to assess the impact of recommissioning or installing a new BMS on a given site's energy usage. It provides an estimation of the financial cost as well as the energy and cost savings to recommission / upgrade a site's BMS. Unit costs used in this estimator have been collated from SPON'S 2020 (SPON'S is an industry standard approach to calculate the cost of projects by using UK specific price data). These have been adjusted and compound inflation has been added to represent expected 2023 pricing. To do this, two years of CPI have been applied (2.5% for 2021 and 7.9% for 2022) - Source: ONS Inflation and Price Indices.</t>
  </si>
  <si>
    <t>£/kWh</t>
  </si>
  <si>
    <t>Used to separate out loads downstream of the metering that are not heating related (i.e. the BMS upgrade will not have any affect on these loads)</t>
  </si>
  <si>
    <t>BMS intervention estimator</t>
  </si>
  <si>
    <t>Feasibility and design:</t>
  </si>
  <si>
    <r>
      <t xml:space="preserve">User Data Sources and Assumptions </t>
    </r>
    <r>
      <rPr>
        <sz val="11"/>
        <color rgb="FF000000"/>
        <rFont val="Segoe UI"/>
        <family val="2"/>
      </rPr>
      <t>contains all site specific data sources and assumptions input whilst modelling the BMS. It is recommended to record all sources of data used to make reviewing and tracing easier</t>
    </r>
  </si>
  <si>
    <r>
      <t>Complete details for each building in the model:
1) Input building name, ID, site zone (where multiple zones exist), heat fuel type that applies to the building, floor area and percentage of building covered by the BMS. A different site zone is required for each</t>
    </r>
    <r>
      <rPr>
        <b/>
        <sz val="11"/>
        <color rgb="FF000000"/>
        <rFont val="Segoe UI"/>
        <family val="2"/>
      </rPr>
      <t xml:space="preserve"> </t>
    </r>
    <r>
      <rPr>
        <sz val="11"/>
        <color rgb="FF000000"/>
        <rFont val="Segoe UI"/>
        <family val="2"/>
      </rPr>
      <t>head end / supervisor unit in order to cost correctly (note, tool is limited to a maximum of 3 zones and therefore some rationalisation may be needed)
2) Dependent on building type and size, choose the appropriate</t>
    </r>
    <r>
      <rPr>
        <b/>
        <sz val="11"/>
        <color rgb="FF000000"/>
        <rFont val="Segoe UI"/>
        <family val="2"/>
      </rPr>
      <t xml:space="preserve"> </t>
    </r>
    <r>
      <rPr>
        <sz val="11"/>
        <color rgb="FF000000"/>
        <rFont val="Segoe UI"/>
        <family val="2"/>
      </rPr>
      <t xml:space="preserve">building category
3) Input the state on the existing BMS (using drop down list): 
- </t>
    </r>
    <r>
      <rPr>
        <i/>
        <sz val="11"/>
        <color rgb="FF000000"/>
        <rFont val="Segoe UI"/>
        <family val="2"/>
      </rPr>
      <t>Not working</t>
    </r>
    <r>
      <rPr>
        <sz val="11"/>
        <color rgb="FF000000"/>
        <rFont val="Segoe UI"/>
        <family val="2"/>
      </rPr>
      <t xml:space="preserve">, existing BMS is not operational
- </t>
    </r>
    <r>
      <rPr>
        <i/>
        <sz val="11"/>
        <color rgb="FF000000"/>
        <rFont val="Segoe UI"/>
        <family val="2"/>
      </rPr>
      <t>Poor</t>
    </r>
    <r>
      <rPr>
        <sz val="11"/>
        <color rgb="FF000000"/>
        <rFont val="Segoe UI"/>
        <family val="2"/>
      </rPr>
      <t xml:space="preserve">, BMS ineffectual or has major connectivity issues
- </t>
    </r>
    <r>
      <rPr>
        <i/>
        <sz val="11"/>
        <color rgb="FF000000"/>
        <rFont val="Segoe UI"/>
        <family val="2"/>
      </rPr>
      <t>Acceptable</t>
    </r>
    <r>
      <rPr>
        <sz val="11"/>
        <color rgb="FF000000"/>
        <rFont val="Segoe UI"/>
        <family val="2"/>
      </rPr>
      <t xml:space="preserve">, BMS is in operable condition with minor connectivity issues
- </t>
    </r>
    <r>
      <rPr>
        <i/>
        <sz val="11"/>
        <color rgb="FF000000"/>
        <rFont val="Segoe UI"/>
        <family val="2"/>
      </rPr>
      <t>Good</t>
    </r>
    <r>
      <rPr>
        <sz val="11"/>
        <color rgb="FF000000"/>
        <rFont val="Segoe UI"/>
        <family val="2"/>
      </rPr>
      <t>, existing BMS is in good condition and no upgrades are required
4) Input electricity consumption (kWh)
5) Input heat demand (kWh) 
6) Indicate number of control points for BMS if known (this is automatically estimated , but if the number of control points is known this can be overwritten by the actual value in column S)</t>
    </r>
  </si>
  <si>
    <t>Provide general details for the site:
1) Site access and any need for escorts
2) Input percentage heat / electricity savings adjustment factor (this can be used when a deeper knowledge of the types of savings which are likely to be realised on site is available - i.e., we know that site heating is on 24/7 so gas consumption will be greatly reduced by an improved controls system)
3) Input site specific heat fuel cost(s) and electricity cost. You can select up to three different heat fuel sources
4) Select the fuel source for the heat on your site, using drop-down menu
5) If known, enter an expected cost for running/operating the BMS system on an annual basis (a default value of £70,000 is used if blank)
6) If there is a catering or laundry demand downstream of the metering on site, it is important to remove these from the heat demand total as the BMS upgrade will not affect these. If these are unknown or are not sub metered, it is possible to exclude an estimated proportion (%) of the overall heat demand for the site using the supplied input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</si>
</sst>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4" formatCode="_-&quot;£&quot;* #,##0.00_-;\-&quot;£&quot;* #,##0.00_-;_-&quot;£&quot;* &quot;-&quot;??_-;_-@_-"/>
    <numFmt numFmtId="43" formatCode="_-* #,##0.00_-;\-* #,##0.00_-;_-* &quot;-&quot;??_-;_-@_-"/>
    <numFmt numFmtId="164" formatCode="0.0"/>
    <numFmt numFmtId="165" formatCode="_-* #,##0_-;\-* #,##0_-;_-* &quot;-&quot;??_-;_-@_-"/>
    <numFmt numFmtId="166" formatCode="&quot;£&quot;#,##0"/>
    <numFmt numFmtId="167" formatCode="_-&quot;£&quot;* #,##0_-;\-&quot;£&quot;* #,##0_-;_-&quot;£&quot;* &quot;-&quot;??_-;_-@_-"/>
    <numFmt numFmtId="168" formatCode="_-* #,##0.000000_-;\-* #,##0.000000_-;_-* &quot;-&quot;??_-;_-@_-"/>
    <numFmt numFmtId="169" formatCode="_-[$£-809]* #,##0.00_-;\-[$£-809]* #,##0.00_-;_-[$£-809]* &quot;-&quot;??_-;_-@_-"/>
    <numFmt numFmtId="170" formatCode="_-[$£-809]* #,##0_-;\-[$£-809]* #,##0_-;_-[$£-809]* &quot;-&quot;??_-;_-@_-"/>
    <numFmt numFmtId="171" formatCode="&quot;£&quot;#,##0;[Red]\-&quot;£&quot;#,##0;&quot;&quot;"/>
    <numFmt numFmtId="172" formatCode="_-* #,##0_-;\-* #,##0_-;_-* &quot;&quot;??_-;_-@_-"/>
    <numFmt numFmtId="173" formatCode="&quot;£&quot;#,##0.000"/>
  </numFmts>
  <fonts count="6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8"/>
      <name val="Calibri"/>
      <family val="2"/>
      <scheme val="minor"/>
    </font>
    <font>
      <sz val="10"/>
      <color rgb="FF000000"/>
      <name val="Times New Roman"/>
      <family val="1"/>
    </font>
    <font>
      <b/>
      <sz val="11"/>
      <name val="Calibri"/>
      <family val="2"/>
    </font>
    <font>
      <b/>
      <sz val="9"/>
      <name val="Calibri"/>
      <family val="2"/>
    </font>
    <font>
      <sz val="9"/>
      <name val="Calibri"/>
      <family val="2"/>
    </font>
    <font>
      <sz val="10"/>
      <color rgb="FF000000"/>
      <name val="Calibri"/>
      <family val="2"/>
    </font>
    <font>
      <i/>
      <sz val="10"/>
      <color rgb="FF000000"/>
      <name val="Calibri"/>
      <family val="2"/>
    </font>
    <font>
      <sz val="10"/>
      <color rgb="FF000000"/>
      <name val="Calibri"/>
      <family val="2"/>
      <scheme val="minor"/>
    </font>
    <font>
      <sz val="9"/>
      <name val="Calibri"/>
      <family val="2"/>
      <scheme val="minor"/>
    </font>
    <font>
      <b/>
      <sz val="9"/>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9"/>
      <color rgb="FF000000"/>
      <name val="Calibri"/>
      <family val="2"/>
    </font>
    <font>
      <b/>
      <sz val="9"/>
      <color rgb="FF000000"/>
      <name val="Calibri"/>
      <family val="2"/>
    </font>
    <font>
      <sz val="10"/>
      <color rgb="FF000000"/>
      <name val="Times New Roman"/>
      <family val="1"/>
    </font>
    <font>
      <sz val="8"/>
      <color theme="1"/>
      <name val="Calibri"/>
      <family val="2"/>
      <scheme val="minor"/>
    </font>
    <font>
      <i/>
      <sz val="8"/>
      <color theme="1"/>
      <name val="Calibri"/>
      <family val="2"/>
      <scheme val="minor"/>
    </font>
    <font>
      <b/>
      <i/>
      <sz val="11"/>
      <color theme="1"/>
      <name val="Calibri"/>
      <family val="2"/>
      <scheme val="minor"/>
    </font>
    <font>
      <i/>
      <sz val="11"/>
      <color theme="1"/>
      <name val="Calibri"/>
      <family val="2"/>
      <scheme val="minor"/>
    </font>
    <font>
      <b/>
      <sz val="9"/>
      <color rgb="FF000000"/>
      <name val="Calibri"/>
      <family val="2"/>
      <scheme val="minor"/>
    </font>
    <font>
      <b/>
      <sz val="11"/>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sz val="10"/>
      <color theme="1"/>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b/>
      <sz val="14"/>
      <color theme="1"/>
      <name val="Calibri"/>
      <family val="2"/>
      <scheme val="minor"/>
    </font>
    <font>
      <vertAlign val="superscript"/>
      <sz val="9"/>
      <color rgb="FF000000"/>
      <name val="Calibri"/>
      <family val="2"/>
    </font>
    <font>
      <u/>
      <sz val="11"/>
      <color theme="10"/>
      <name val="Calibri"/>
      <family val="2"/>
      <scheme val="minor"/>
    </font>
    <font>
      <b/>
      <i/>
      <sz val="11"/>
      <color theme="0"/>
      <name val="Calibri"/>
      <family val="2"/>
      <scheme val="minor"/>
    </font>
    <font>
      <b/>
      <i/>
      <vertAlign val="superscript"/>
      <sz val="11"/>
      <color theme="0"/>
      <name val="Calibri"/>
      <family val="2"/>
      <scheme val="minor"/>
    </font>
    <font>
      <i/>
      <sz val="11"/>
      <color theme="0"/>
      <name val="Calibri"/>
      <family val="2"/>
      <scheme val="minor"/>
    </font>
    <font>
      <i/>
      <vertAlign val="superscript"/>
      <sz val="11"/>
      <color theme="0"/>
      <name val="Calibri"/>
      <family val="2"/>
      <scheme val="minor"/>
    </font>
    <font>
      <i/>
      <sz val="11"/>
      <color theme="0" tint="-0.499984740745262"/>
      <name val="Calibri"/>
      <family val="2"/>
      <scheme val="minor"/>
    </font>
    <font>
      <b/>
      <sz val="9"/>
      <color indexed="81"/>
      <name val="Tahoma"/>
      <family val="2"/>
    </font>
    <font>
      <sz val="11"/>
      <color rgb="FF000000"/>
      <name val="Calibri"/>
      <family val="2"/>
    </font>
    <font>
      <b/>
      <vertAlign val="subscript"/>
      <sz val="11"/>
      <color theme="1"/>
      <name val="Calibri"/>
      <family val="2"/>
      <scheme val="minor"/>
    </font>
    <font>
      <b/>
      <vertAlign val="subscript"/>
      <sz val="9"/>
      <color rgb="FF000000"/>
      <name val="Calibri"/>
      <family val="2"/>
      <scheme val="minor"/>
    </font>
    <font>
      <vertAlign val="subscript"/>
      <sz val="9"/>
      <name val="Calibri"/>
      <family val="2"/>
    </font>
    <font>
      <sz val="10"/>
      <color theme="0"/>
      <name val="Calibri"/>
      <family val="2"/>
      <scheme val="minor"/>
    </font>
    <font>
      <sz val="11"/>
      <color theme="1"/>
      <name val="Segoe UI"/>
      <family val="2"/>
    </font>
    <font>
      <b/>
      <sz val="20"/>
      <color theme="1"/>
      <name val="Segoe UI"/>
      <family val="2"/>
    </font>
    <font>
      <b/>
      <sz val="16"/>
      <color theme="1"/>
      <name val="Segoe UI"/>
      <family val="2"/>
    </font>
    <font>
      <i/>
      <sz val="11"/>
      <color theme="1"/>
      <name val="Segoe UI"/>
      <family val="2"/>
    </font>
    <font>
      <i/>
      <sz val="11"/>
      <name val="Segoe UI"/>
      <family val="2"/>
    </font>
    <font>
      <sz val="11"/>
      <name val="Segoe UI"/>
      <family val="2"/>
    </font>
    <font>
      <i/>
      <sz val="11"/>
      <color rgb="FF000000"/>
      <name val="Segoe UI"/>
      <family val="2"/>
    </font>
    <font>
      <sz val="11"/>
      <color rgb="FF000000"/>
      <name val="Segoe UI"/>
      <family val="2"/>
    </font>
    <font>
      <b/>
      <sz val="11"/>
      <color rgb="FF000000"/>
      <name val="Segoe UI"/>
      <family val="2"/>
    </font>
    <font>
      <sz val="12"/>
      <color theme="1"/>
      <name val="Segoe UI"/>
      <family val="2"/>
    </font>
    <font>
      <sz val="12"/>
      <color rgb="FFFF0000"/>
      <name val="Segoe UI"/>
      <family val="2"/>
    </font>
    <font>
      <i/>
      <sz val="12"/>
      <color theme="1"/>
      <name val="Segoe UI"/>
      <family val="2"/>
    </font>
    <font>
      <b/>
      <sz val="12"/>
      <color theme="0"/>
      <name val="Segoe UI"/>
      <family val="2"/>
    </font>
  </fonts>
  <fills count="4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bgColor indexed="64"/>
      </patternFill>
    </fill>
    <fill>
      <patternFill patternType="solid">
        <fgColor rgb="FF005ABB"/>
        <bgColor indexed="64"/>
      </patternFill>
    </fill>
    <fill>
      <patternFill patternType="solid">
        <fgColor theme="0" tint="-4.9989318521683403E-2"/>
        <bgColor indexed="64"/>
      </patternFill>
    </fill>
    <fill>
      <patternFill patternType="solid">
        <fgColor rgb="FFFFFFCC"/>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5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9" fillId="0" borderId="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7" applyNumberFormat="0" applyAlignment="0" applyProtection="0"/>
    <xf numFmtId="0" fontId="3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0" borderId="0"/>
    <xf numFmtId="0" fontId="33" fillId="34" borderId="9" applyNumberFormat="0" applyAlignment="0" applyProtection="0"/>
    <xf numFmtId="0" fontId="35" fillId="35" borderId="10" applyNumberFormat="0" applyProtection="0">
      <alignment vertical="center"/>
    </xf>
    <xf numFmtId="43"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4" fillId="0" borderId="0" applyNumberFormat="0" applyFill="0" applyBorder="0" applyAlignment="0" applyProtection="0">
      <alignment vertical="top"/>
      <protection locked="0"/>
    </xf>
    <xf numFmtId="0" fontId="33" fillId="36" borderId="6" applyNumberFormat="0" applyBorder="0" applyAlignment="0" applyProtection="0"/>
    <xf numFmtId="0" fontId="33" fillId="37" borderId="0">
      <alignment vertical="center"/>
    </xf>
    <xf numFmtId="0" fontId="33" fillId="38" borderId="11" applyNumberFormat="0" applyAlignment="0" applyProtection="0"/>
    <xf numFmtId="0" fontId="32" fillId="9" borderId="8" applyNumberFormat="0" applyFont="0" applyAlignment="0" applyProtection="0"/>
    <xf numFmtId="0" fontId="38" fillId="39" borderId="12" applyNumberFormat="0" applyAlignment="0" applyProtection="0"/>
    <xf numFmtId="0" fontId="33" fillId="40" borderId="13" applyNumberFormat="0" applyProtection="0">
      <alignment vertical="center"/>
    </xf>
    <xf numFmtId="0" fontId="38" fillId="41" borderId="0" applyNumberFormat="0" applyBorder="0" applyAlignment="0" applyProtection="0"/>
    <xf numFmtId="0" fontId="41" fillId="0" borderId="0" applyNumberFormat="0" applyFill="0" applyBorder="0" applyAlignment="0" applyProtection="0"/>
  </cellStyleXfs>
  <cellXfs count="261">
    <xf numFmtId="0" fontId="0" fillId="0" borderId="0" xfId="0"/>
    <xf numFmtId="0" fontId="2" fillId="0" borderId="0" xfId="0" applyFont="1"/>
    <xf numFmtId="0" fontId="0" fillId="0" borderId="0" xfId="0" applyAlignment="1">
      <alignment horizontal="left"/>
    </xf>
    <xf numFmtId="0" fontId="2" fillId="0" borderId="0" xfId="0" applyFont="1" applyAlignment="1">
      <alignment wrapText="1"/>
    </xf>
    <xf numFmtId="0" fontId="0" fillId="0" borderId="0" xfId="0" applyAlignment="1">
      <alignment wrapText="1"/>
    </xf>
    <xf numFmtId="9" fontId="0" fillId="0" borderId="0" xfId="3" applyFont="1"/>
    <xf numFmtId="167" fontId="0" fillId="0" borderId="0" xfId="2" applyNumberFormat="1" applyFont="1"/>
    <xf numFmtId="0" fontId="10" fillId="0" borderId="0" xfId="4" applyFont="1" applyAlignment="1">
      <alignment horizontal="left" vertical="top"/>
    </xf>
    <xf numFmtId="0" fontId="0" fillId="0" borderId="2" xfId="0" applyBorder="1"/>
    <xf numFmtId="0" fontId="0" fillId="0" borderId="2" xfId="0" applyBorder="1" applyAlignment="1">
      <alignment wrapText="1"/>
    </xf>
    <xf numFmtId="6" fontId="0" fillId="0" borderId="2" xfId="0" applyNumberFormat="1" applyBorder="1"/>
    <xf numFmtId="0" fontId="0" fillId="3" borderId="2" xfId="0" applyFill="1" applyBorder="1"/>
    <xf numFmtId="167" fontId="0" fillId="0" borderId="2" xfId="2" applyNumberFormat="1" applyFont="1" applyBorder="1"/>
    <xf numFmtId="9" fontId="0" fillId="0" borderId="2" xfId="3" applyFont="1" applyBorder="1"/>
    <xf numFmtId="1" fontId="0" fillId="0" borderId="2" xfId="3" applyNumberFormat="1" applyFont="1" applyBorder="1"/>
    <xf numFmtId="0" fontId="15" fillId="0" borderId="0" xfId="0" applyFont="1"/>
    <xf numFmtId="0" fontId="16" fillId="0" borderId="0" xfId="0" applyFont="1"/>
    <xf numFmtId="0" fontId="16" fillId="3" borderId="2" xfId="0" applyFont="1" applyFill="1" applyBorder="1"/>
    <xf numFmtId="0" fontId="16" fillId="0" borderId="2" xfId="0" applyFont="1" applyBorder="1"/>
    <xf numFmtId="0" fontId="0" fillId="3" borderId="2" xfId="0" applyFill="1" applyBorder="1" applyAlignment="1">
      <alignment wrapText="1"/>
    </xf>
    <xf numFmtId="165" fontId="0" fillId="0" borderId="2" xfId="1" applyNumberFormat="1" applyFont="1" applyBorder="1"/>
    <xf numFmtId="165" fontId="0" fillId="0" borderId="0" xfId="1" applyNumberFormat="1" applyFont="1"/>
    <xf numFmtId="165" fontId="2" fillId="0" borderId="0" xfId="0" applyNumberFormat="1" applyFont="1"/>
    <xf numFmtId="0" fontId="21" fillId="0" borderId="0" xfId="0" applyFont="1" applyAlignment="1">
      <alignment wrapText="1"/>
    </xf>
    <xf numFmtId="0" fontId="20" fillId="0" borderId="2" xfId="0" applyFont="1" applyBorder="1" applyAlignment="1">
      <alignment wrapText="1"/>
    </xf>
    <xf numFmtId="0" fontId="16" fillId="0" borderId="0" xfId="0" applyFont="1" applyAlignment="1">
      <alignment wrapText="1"/>
    </xf>
    <xf numFmtId="6" fontId="0" fillId="0" borderId="0" xfId="0" applyNumberFormat="1"/>
    <xf numFmtId="10" fontId="0" fillId="0" borderId="2" xfId="3" applyNumberFormat="1" applyFont="1" applyBorder="1"/>
    <xf numFmtId="168" fontId="0" fillId="0" borderId="0" xfId="0" applyNumberFormat="1"/>
    <xf numFmtId="169" fontId="0" fillId="0" borderId="0" xfId="0" applyNumberFormat="1"/>
    <xf numFmtId="170" fontId="0" fillId="0" borderId="0" xfId="0" applyNumberFormat="1"/>
    <xf numFmtId="169" fontId="0" fillId="0" borderId="2" xfId="0" applyNumberFormat="1" applyBorder="1"/>
    <xf numFmtId="0" fontId="0" fillId="2" borderId="16" xfId="0" applyFill="1" applyBorder="1" applyAlignment="1" applyProtection="1">
      <alignment horizontal="center" vertical="center"/>
      <protection locked="0"/>
    </xf>
    <xf numFmtId="165" fontId="0" fillId="2" borderId="16" xfId="1" applyNumberFormat="1" applyFont="1" applyFill="1" applyBorder="1" applyAlignment="1" applyProtection="1">
      <alignment horizontal="center" vertical="center"/>
      <protection locked="0"/>
    </xf>
    <xf numFmtId="165" fontId="0" fillId="45" borderId="16" xfId="1" applyNumberFormat="1" applyFon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7" xfId="0" applyFill="1" applyBorder="1" applyAlignment="1" applyProtection="1">
      <alignment horizontal="left" vertical="center"/>
      <protection locked="0"/>
    </xf>
    <xf numFmtId="0" fontId="0" fillId="2" borderId="17" xfId="0" applyFill="1" applyBorder="1" applyAlignment="1" applyProtection="1">
      <alignment vertical="center"/>
      <protection locked="0"/>
    </xf>
    <xf numFmtId="165" fontId="0" fillId="2" borderId="17" xfId="1" applyNumberFormat="1" applyFont="1" applyFill="1" applyBorder="1" applyAlignment="1" applyProtection="1">
      <alignment horizontal="center" vertical="center"/>
      <protection locked="0"/>
    </xf>
    <xf numFmtId="9" fontId="0" fillId="2" borderId="17" xfId="3" applyFont="1" applyFill="1" applyBorder="1" applyAlignment="1" applyProtection="1">
      <alignment horizontal="right" vertical="center"/>
      <protection locked="0"/>
    </xf>
    <xf numFmtId="165" fontId="0" fillId="45" borderId="17" xfId="1" applyNumberFormat="1" applyFont="1" applyFill="1" applyBorder="1" applyAlignment="1" applyProtection="1">
      <alignment horizontal="center" vertical="center"/>
      <protection locked="0"/>
    </xf>
    <xf numFmtId="0" fontId="0" fillId="2" borderId="17" xfId="0" applyFill="1" applyBorder="1" applyAlignment="1" applyProtection="1">
      <alignment horizontal="right" vertical="center"/>
      <protection locked="0"/>
    </xf>
    <xf numFmtId="0" fontId="0" fillId="45"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8" xfId="0" applyFill="1" applyBorder="1" applyAlignment="1" applyProtection="1">
      <alignment horizontal="left" vertical="center"/>
      <protection locked="0"/>
    </xf>
    <xf numFmtId="0" fontId="0" fillId="2" borderId="18" xfId="0" applyFill="1" applyBorder="1" applyAlignment="1" applyProtection="1">
      <alignment vertical="center"/>
      <protection locked="0"/>
    </xf>
    <xf numFmtId="165" fontId="0" fillId="2" borderId="18" xfId="1" applyNumberFormat="1" applyFont="1"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45" borderId="18" xfId="0" applyFill="1" applyBorder="1" applyAlignment="1" applyProtection="1">
      <alignment horizontal="center" vertical="center"/>
      <protection locked="0"/>
    </xf>
    <xf numFmtId="9" fontId="0" fillId="2" borderId="17" xfId="3" applyFont="1" applyFill="1" applyBorder="1" applyAlignment="1" applyProtection="1">
      <alignment horizontal="center" vertical="center"/>
      <protection locked="0"/>
    </xf>
    <xf numFmtId="9" fontId="0" fillId="2" borderId="18" xfId="3" applyFont="1" applyFill="1" applyBorder="1" applyAlignment="1" applyProtection="1">
      <alignment horizontal="center" vertical="center"/>
      <protection locked="0"/>
    </xf>
    <xf numFmtId="9" fontId="0" fillId="2" borderId="16" xfId="0" applyNumberFormat="1" applyFill="1" applyBorder="1" applyAlignment="1" applyProtection="1">
      <alignment horizontal="center"/>
      <protection locked="0"/>
    </xf>
    <xf numFmtId="9" fontId="0" fillId="2" borderId="17" xfId="0" applyNumberFormat="1" applyFill="1" applyBorder="1" applyAlignment="1" applyProtection="1">
      <alignment horizontal="center"/>
      <protection locked="0"/>
    </xf>
    <xf numFmtId="9" fontId="0" fillId="2" borderId="18" xfId="0" applyNumberFormat="1" applyFill="1" applyBorder="1" applyAlignment="1" applyProtection="1">
      <alignment horizontal="center"/>
      <protection locked="0"/>
    </xf>
    <xf numFmtId="0" fontId="14" fillId="2" borderId="17" xfId="4" applyFont="1" applyFill="1" applyBorder="1" applyAlignment="1" applyProtection="1">
      <alignment horizontal="right" vertical="center"/>
      <protection locked="0"/>
    </xf>
    <xf numFmtId="6" fontId="12" fillId="2" borderId="17" xfId="4" applyNumberFormat="1" applyFont="1" applyFill="1" applyBorder="1" applyAlignment="1" applyProtection="1">
      <alignment horizontal="right" vertical="center" wrapText="1"/>
      <protection locked="0"/>
    </xf>
    <xf numFmtId="165" fontId="12" fillId="2" borderId="18" xfId="1" applyNumberFormat="1" applyFont="1" applyFill="1" applyBorder="1" applyAlignment="1" applyProtection="1">
      <alignment horizontal="right" vertical="center" wrapText="1"/>
      <protection locked="0"/>
    </xf>
    <xf numFmtId="0" fontId="0" fillId="0" borderId="0" xfId="0" applyProtection="1">
      <protection hidden="1"/>
    </xf>
    <xf numFmtId="0" fontId="0" fillId="0" borderId="0" xfId="0" applyAlignment="1" applyProtection="1">
      <alignment horizontal="left"/>
      <protection hidden="1"/>
    </xf>
    <xf numFmtId="0" fontId="39" fillId="0" borderId="0" xfId="0" applyFont="1" applyAlignment="1" applyProtection="1">
      <alignment horizontal="left" vertical="top"/>
      <protection hidden="1"/>
    </xf>
    <xf numFmtId="0" fontId="30" fillId="43" borderId="2" xfId="0" applyFont="1" applyFill="1" applyBorder="1" applyAlignment="1" applyProtection="1">
      <alignment horizontal="left" vertical="center" wrapText="1"/>
      <protection hidden="1"/>
    </xf>
    <xf numFmtId="164" fontId="0" fillId="0" borderId="2" xfId="0" applyNumberFormat="1" applyBorder="1" applyProtection="1">
      <protection hidden="1"/>
    </xf>
    <xf numFmtId="14" fontId="0" fillId="0" borderId="2" xfId="0" applyNumberFormat="1" applyBorder="1" applyProtection="1">
      <protection hidden="1"/>
    </xf>
    <xf numFmtId="0" fontId="0" fillId="0" borderId="2" xfId="0" applyBorder="1" applyProtection="1">
      <protection hidden="1"/>
    </xf>
    <xf numFmtId="0" fontId="0" fillId="0" borderId="2" xfId="0" applyBorder="1" applyAlignment="1" applyProtection="1">
      <alignment wrapText="1"/>
      <protection hidden="1"/>
    </xf>
    <xf numFmtId="0" fontId="0" fillId="0" borderId="2" xfId="0" applyBorder="1" applyProtection="1">
      <protection locked="0"/>
    </xf>
    <xf numFmtId="0" fontId="0" fillId="0" borderId="2" xfId="0" applyBorder="1" applyAlignment="1" applyProtection="1">
      <alignment wrapText="1"/>
      <protection locked="0"/>
    </xf>
    <xf numFmtId="165" fontId="0" fillId="0" borderId="0" xfId="1" applyNumberFormat="1" applyFont="1" applyBorder="1" applyProtection="1">
      <protection hidden="1"/>
    </xf>
    <xf numFmtId="0" fontId="0" fillId="0" borderId="0" xfId="0" applyAlignment="1" applyProtection="1">
      <alignment horizontal="right"/>
      <protection hidden="1"/>
    </xf>
    <xf numFmtId="0" fontId="2" fillId="0" borderId="0" xfId="0" applyFont="1" applyProtection="1">
      <protection hidden="1"/>
    </xf>
    <xf numFmtId="0" fontId="0" fillId="44" borderId="16" xfId="0" applyFill="1" applyBorder="1" applyAlignment="1" applyProtection="1">
      <alignment horizontal="left" vertical="center" wrapText="1"/>
      <protection hidden="1"/>
    </xf>
    <xf numFmtId="0" fontId="23" fillId="0" borderId="0" xfId="0" applyFont="1" applyProtection="1">
      <protection hidden="1"/>
    </xf>
    <xf numFmtId="0" fontId="0" fillId="0" borderId="0" xfId="0" applyAlignment="1" applyProtection="1">
      <alignment horizontal="center" vertical="center"/>
      <protection hidden="1"/>
    </xf>
    <xf numFmtId="0" fontId="0" fillId="44" borderId="17" xfId="0" applyFill="1" applyBorder="1" applyAlignment="1" applyProtection="1">
      <alignment horizontal="left" vertical="center" wrapText="1"/>
      <protection hidden="1"/>
    </xf>
    <xf numFmtId="0" fontId="46" fillId="0" borderId="0" xfId="0" applyFont="1" applyProtection="1">
      <protection hidden="1"/>
    </xf>
    <xf numFmtId="0" fontId="0" fillId="44" borderId="18" xfId="0" applyFill="1" applyBorder="1" applyAlignment="1" applyProtection="1">
      <alignment horizontal="left" vertical="center" wrapText="1"/>
      <protection hidden="1"/>
    </xf>
    <xf numFmtId="0" fontId="48" fillId="0" borderId="0" xfId="0" applyFont="1" applyProtection="1">
      <protection hidden="1"/>
    </xf>
    <xf numFmtId="0" fontId="2"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165" fontId="3" fillId="0" borderId="0" xfId="0" applyNumberFormat="1" applyFont="1" applyAlignment="1" applyProtection="1">
      <alignment horizontal="center" vertical="center"/>
      <protection hidden="1"/>
    </xf>
    <xf numFmtId="166" fontId="3" fillId="0" borderId="0" xfId="0" applyNumberFormat="1" applyFont="1" applyAlignment="1" applyProtection="1">
      <alignment horizontal="center" vertical="center"/>
      <protection hidden="1"/>
    </xf>
    <xf numFmtId="0" fontId="3" fillId="0" borderId="0" xfId="0" applyFont="1" applyProtection="1">
      <protection hidden="1"/>
    </xf>
    <xf numFmtId="0" fontId="30" fillId="43" borderId="19" xfId="0" applyFont="1" applyFill="1" applyBorder="1" applyAlignment="1" applyProtection="1">
      <alignment horizontal="center" vertical="top" wrapText="1"/>
      <protection hidden="1"/>
    </xf>
    <xf numFmtId="0" fontId="30" fillId="43" borderId="19" xfId="0" applyFont="1" applyFill="1" applyBorder="1" applyAlignment="1" applyProtection="1">
      <alignment horizontal="left" vertical="top" wrapText="1"/>
      <protection hidden="1"/>
    </xf>
    <xf numFmtId="0" fontId="30" fillId="43" borderId="19" xfId="0" applyFont="1" applyFill="1" applyBorder="1" applyAlignment="1" applyProtection="1">
      <alignment vertical="top" wrapText="1"/>
      <protection hidden="1"/>
    </xf>
    <xf numFmtId="0" fontId="2" fillId="0" borderId="0" xfId="0" applyFont="1" applyAlignment="1" applyProtection="1">
      <alignment vertical="top" wrapText="1"/>
      <protection hidden="1"/>
    </xf>
    <xf numFmtId="0" fontId="44" fillId="43" borderId="20" xfId="0" applyFont="1" applyFill="1" applyBorder="1" applyAlignment="1" applyProtection="1">
      <alignment horizontal="left" vertical="center" wrapText="1"/>
      <protection hidden="1"/>
    </xf>
    <xf numFmtId="0" fontId="44" fillId="43" borderId="20" xfId="0" applyFont="1" applyFill="1" applyBorder="1" applyAlignment="1" applyProtection="1">
      <alignment vertical="center" wrapText="1"/>
      <protection hidden="1"/>
    </xf>
    <xf numFmtId="0" fontId="44" fillId="43" borderId="20" xfId="0" applyFont="1" applyFill="1" applyBorder="1" applyAlignment="1" applyProtection="1">
      <alignment horizontal="right" vertical="center" wrapText="1"/>
      <protection hidden="1"/>
    </xf>
    <xf numFmtId="0" fontId="22" fillId="0" borderId="0" xfId="0" applyFont="1" applyAlignment="1" applyProtection="1">
      <alignment wrapText="1"/>
      <protection hidden="1"/>
    </xf>
    <xf numFmtId="6" fontId="0" fillId="4" borderId="16" xfId="0" applyNumberFormat="1" applyFill="1" applyBorder="1" applyAlignment="1" applyProtection="1">
      <alignment horizontal="right" vertical="center"/>
      <protection hidden="1"/>
    </xf>
    <xf numFmtId="165" fontId="0" fillId="4" borderId="17" xfId="1" applyNumberFormat="1" applyFont="1" applyFill="1" applyBorder="1" applyAlignment="1" applyProtection="1">
      <alignment horizontal="right" vertical="center"/>
      <protection hidden="1"/>
    </xf>
    <xf numFmtId="1" fontId="0" fillId="4" borderId="17" xfId="0" applyNumberFormat="1" applyFill="1" applyBorder="1" applyAlignment="1" applyProtection="1">
      <alignment horizontal="right" vertical="center"/>
      <protection hidden="1"/>
    </xf>
    <xf numFmtId="6" fontId="0" fillId="4" borderId="17" xfId="0" applyNumberFormat="1" applyFill="1" applyBorder="1" applyAlignment="1" applyProtection="1">
      <alignment horizontal="right" vertical="center"/>
      <protection hidden="1"/>
    </xf>
    <xf numFmtId="6" fontId="0" fillId="4" borderId="18" xfId="0" applyNumberFormat="1" applyFill="1" applyBorder="1" applyAlignment="1" applyProtection="1">
      <alignment horizontal="right" vertical="center"/>
      <protection hidden="1"/>
    </xf>
    <xf numFmtId="0" fontId="11" fillId="0" borderId="0" xfId="4" applyFont="1" applyAlignment="1" applyProtection="1">
      <alignment horizontal="left" vertical="top"/>
      <protection hidden="1"/>
    </xf>
    <xf numFmtId="0" fontId="11" fillId="0" borderId="0" xfId="4" applyFont="1" applyAlignment="1" applyProtection="1">
      <alignment horizontal="center" vertical="center"/>
      <protection hidden="1"/>
    </xf>
    <xf numFmtId="0" fontId="25" fillId="0" borderId="0" xfId="4" applyFont="1" applyAlignment="1" applyProtection="1">
      <alignment horizontal="left" vertical="top" wrapText="1"/>
      <protection hidden="1"/>
    </xf>
    <xf numFmtId="0" fontId="11" fillId="0" borderId="0" xfId="4" applyFont="1" applyAlignment="1" applyProtection="1">
      <alignment horizontal="left" vertical="center" wrapText="1"/>
      <protection hidden="1"/>
    </xf>
    <xf numFmtId="0" fontId="30" fillId="43" borderId="3" xfId="0" applyFont="1" applyFill="1" applyBorder="1" applyAlignment="1" applyProtection="1">
      <alignment horizontal="left" vertical="center" wrapText="1"/>
      <protection hidden="1"/>
    </xf>
    <xf numFmtId="0" fontId="17" fillId="44" borderId="28" xfId="4" applyFont="1" applyFill="1" applyBorder="1" applyAlignment="1" applyProtection="1">
      <alignment horizontal="right" vertical="center" wrapText="1" indent="1"/>
      <protection hidden="1"/>
    </xf>
    <xf numFmtId="0" fontId="17" fillId="44" borderId="17" xfId="4" applyFont="1" applyFill="1" applyBorder="1" applyAlignment="1" applyProtection="1">
      <alignment horizontal="right" vertical="center" wrapText="1" indent="1"/>
      <protection hidden="1"/>
    </xf>
    <xf numFmtId="0" fontId="8" fillId="44" borderId="18" xfId="4" applyFont="1" applyFill="1" applyBorder="1" applyAlignment="1" applyProtection="1">
      <alignment horizontal="right" vertical="top" wrapText="1" indent="1"/>
      <protection hidden="1"/>
    </xf>
    <xf numFmtId="0" fontId="7" fillId="44" borderId="16" xfId="4" applyFont="1" applyFill="1" applyBorder="1" applyAlignment="1" applyProtection="1">
      <alignment horizontal="right" vertical="top" wrapText="1" indent="1"/>
      <protection hidden="1"/>
    </xf>
    <xf numFmtId="0" fontId="8" fillId="44" borderId="18" xfId="4" applyFont="1" applyFill="1" applyBorder="1" applyAlignment="1" applyProtection="1">
      <alignment horizontal="right" vertical="center" wrapText="1" indent="1"/>
      <protection hidden="1"/>
    </xf>
    <xf numFmtId="0" fontId="8" fillId="44" borderId="17" xfId="4" applyFont="1" applyFill="1" applyBorder="1" applyAlignment="1" applyProtection="1">
      <alignment horizontal="right" vertical="center" wrapText="1" indent="1"/>
      <protection hidden="1"/>
    </xf>
    <xf numFmtId="0" fontId="7" fillId="44" borderId="2" xfId="4" applyFont="1" applyFill="1" applyBorder="1" applyAlignment="1" applyProtection="1">
      <alignment horizontal="right" vertical="center" wrapText="1" indent="1"/>
      <protection hidden="1"/>
    </xf>
    <xf numFmtId="0" fontId="8" fillId="44" borderId="16" xfId="4" applyFont="1" applyFill="1" applyBorder="1" applyAlignment="1" applyProtection="1">
      <alignment horizontal="right" vertical="top" wrapText="1" indent="1"/>
      <protection hidden="1"/>
    </xf>
    <xf numFmtId="0" fontId="8" fillId="44" borderId="17" xfId="4" applyFont="1" applyFill="1" applyBorder="1" applyAlignment="1" applyProtection="1">
      <alignment horizontal="right" vertical="top" wrapText="1" indent="1"/>
      <protection hidden="1"/>
    </xf>
    <xf numFmtId="0" fontId="14" fillId="0" borderId="0" xfId="4" applyFont="1" applyAlignment="1" applyProtection="1">
      <alignment horizontal="left" vertical="top"/>
      <protection hidden="1"/>
    </xf>
    <xf numFmtId="0" fontId="5" fillId="0" borderId="0" xfId="4" applyAlignment="1" applyProtection="1">
      <alignment horizontal="left" vertical="top"/>
      <protection hidden="1"/>
    </xf>
    <xf numFmtId="0" fontId="6" fillId="0" borderId="0" xfId="4" applyFont="1" applyAlignment="1" applyProtection="1">
      <alignment horizontal="left" vertical="top" wrapText="1"/>
      <protection hidden="1"/>
    </xf>
    <xf numFmtId="0" fontId="9" fillId="0" borderId="0" xfId="4" applyFont="1" applyAlignment="1" applyProtection="1">
      <alignment horizontal="left" vertical="center" wrapText="1"/>
      <protection hidden="1"/>
    </xf>
    <xf numFmtId="0" fontId="9" fillId="0" borderId="0" xfId="4" applyFont="1" applyAlignment="1" applyProtection="1">
      <alignment horizontal="left" vertical="top"/>
      <protection hidden="1"/>
    </xf>
    <xf numFmtId="0" fontId="30" fillId="43" borderId="19" xfId="0" applyFont="1" applyFill="1" applyBorder="1" applyAlignment="1" applyProtection="1">
      <alignment horizontal="left" vertical="center" wrapText="1"/>
      <protection hidden="1"/>
    </xf>
    <xf numFmtId="0" fontId="30" fillId="43" borderId="5" xfId="0" applyFont="1" applyFill="1" applyBorder="1" applyAlignment="1" applyProtection="1">
      <alignment horizontal="left" vertical="center" wrapText="1"/>
      <protection hidden="1"/>
    </xf>
    <xf numFmtId="0" fontId="17" fillId="44" borderId="16" xfId="4" applyFont="1" applyFill="1" applyBorder="1" applyAlignment="1" applyProtection="1">
      <alignment horizontal="right" vertical="center" wrapText="1" indent="1"/>
      <protection hidden="1"/>
    </xf>
    <xf numFmtId="165" fontId="8" fillId="4" borderId="16" xfId="1" applyNumberFormat="1" applyFont="1" applyFill="1" applyBorder="1" applyAlignment="1" applyProtection="1">
      <alignment horizontal="right" vertical="center" wrapText="1"/>
      <protection hidden="1"/>
    </xf>
    <xf numFmtId="0" fontId="14" fillId="44" borderId="17" xfId="4" applyFont="1" applyFill="1" applyBorder="1" applyAlignment="1" applyProtection="1">
      <alignment horizontal="right" vertical="center"/>
      <protection hidden="1"/>
    </xf>
    <xf numFmtId="165" fontId="12" fillId="4" borderId="17" xfId="1" applyNumberFormat="1" applyFont="1" applyFill="1" applyBorder="1" applyAlignment="1" applyProtection="1">
      <alignment horizontal="right" vertical="center" wrapText="1"/>
      <protection hidden="1"/>
    </xf>
    <xf numFmtId="165" fontId="8" fillId="4" borderId="17" xfId="1" applyNumberFormat="1" applyFont="1" applyFill="1" applyBorder="1" applyAlignment="1" applyProtection="1">
      <alignment horizontal="right" vertical="center" wrapText="1"/>
      <protection hidden="1"/>
    </xf>
    <xf numFmtId="0" fontId="14" fillId="44" borderId="18" xfId="4" applyFont="1" applyFill="1" applyBorder="1" applyAlignment="1" applyProtection="1">
      <alignment horizontal="right" vertical="center" wrapText="1"/>
      <protection hidden="1"/>
    </xf>
    <xf numFmtId="165" fontId="8" fillId="4" borderId="18" xfId="1" applyNumberFormat="1" applyFont="1" applyFill="1" applyBorder="1" applyAlignment="1" applyProtection="1">
      <alignment horizontal="right" vertical="center" wrapText="1"/>
      <protection hidden="1"/>
    </xf>
    <xf numFmtId="0" fontId="7" fillId="44" borderId="20" xfId="4" applyFont="1" applyFill="1" applyBorder="1" applyAlignment="1" applyProtection="1">
      <alignment horizontal="right" vertical="top" wrapText="1" indent="1"/>
      <protection hidden="1"/>
    </xf>
    <xf numFmtId="0" fontId="18" fillId="4" borderId="20" xfId="4" applyFont="1" applyFill="1" applyBorder="1" applyAlignment="1" applyProtection="1">
      <alignment horizontal="right" vertical="center" wrapText="1"/>
      <protection hidden="1"/>
    </xf>
    <xf numFmtId="0" fontId="17" fillId="4" borderId="21" xfId="4" applyFont="1" applyFill="1" applyBorder="1" applyAlignment="1" applyProtection="1">
      <alignment horizontal="right" vertical="center" wrapText="1"/>
      <protection hidden="1"/>
    </xf>
    <xf numFmtId="0" fontId="8" fillId="44" borderId="16" xfId="4" applyFont="1" applyFill="1" applyBorder="1" applyAlignment="1" applyProtection="1">
      <alignment horizontal="right" vertical="center" wrapText="1" indent="1"/>
      <protection hidden="1"/>
    </xf>
    <xf numFmtId="0" fontId="10" fillId="0" borderId="0" xfId="4" applyFont="1" applyAlignment="1" applyProtection="1">
      <alignment horizontal="left" vertical="top"/>
      <protection hidden="1"/>
    </xf>
    <xf numFmtId="0" fontId="7" fillId="44" borderId="16" xfId="4" applyFont="1" applyFill="1" applyBorder="1" applyAlignment="1" applyProtection="1">
      <alignment horizontal="right" vertical="center" wrapText="1" indent="1"/>
      <protection hidden="1"/>
    </xf>
    <xf numFmtId="0" fontId="14"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5" fillId="0" borderId="0" xfId="4" applyAlignment="1" applyProtection="1">
      <alignment horizontal="right" vertical="top"/>
      <protection hidden="1"/>
    </xf>
    <xf numFmtId="165" fontId="5" fillId="0" borderId="0" xfId="4" applyNumberFormat="1" applyAlignment="1" applyProtection="1">
      <alignment horizontal="left" vertical="top"/>
      <protection hidden="1"/>
    </xf>
    <xf numFmtId="165" fontId="0" fillId="4" borderId="16" xfId="1" applyNumberFormat="1" applyFont="1" applyFill="1" applyBorder="1" applyAlignment="1" applyProtection="1">
      <alignment vertical="center"/>
      <protection hidden="1"/>
    </xf>
    <xf numFmtId="165" fontId="0" fillId="4" borderId="17" xfId="1" applyNumberFormat="1" applyFont="1" applyFill="1" applyBorder="1" applyAlignment="1" applyProtection="1">
      <alignment vertical="center"/>
      <protection hidden="1"/>
    </xf>
    <xf numFmtId="165" fontId="0" fillId="4" borderId="18" xfId="1" applyNumberFormat="1" applyFont="1" applyFill="1" applyBorder="1" applyAlignment="1" applyProtection="1">
      <alignment vertical="center"/>
      <protection hidden="1"/>
    </xf>
    <xf numFmtId="6" fontId="0" fillId="4" borderId="16" xfId="0" applyNumberFormat="1" applyFill="1" applyBorder="1" applyAlignment="1" applyProtection="1">
      <alignment vertical="center"/>
      <protection hidden="1"/>
    </xf>
    <xf numFmtId="10" fontId="0" fillId="4" borderId="16" xfId="3" applyNumberFormat="1" applyFont="1" applyFill="1" applyBorder="1" applyAlignment="1" applyProtection="1">
      <alignment vertical="center"/>
      <protection hidden="1"/>
    </xf>
    <xf numFmtId="6" fontId="0" fillId="4" borderId="17" xfId="0" applyNumberFormat="1" applyFill="1" applyBorder="1" applyAlignment="1" applyProtection="1">
      <alignment vertical="center"/>
      <protection hidden="1"/>
    </xf>
    <xf numFmtId="10" fontId="0" fillId="4" borderId="17" xfId="3" applyNumberFormat="1" applyFont="1" applyFill="1" applyBorder="1" applyAlignment="1" applyProtection="1">
      <alignment vertical="center"/>
      <protection hidden="1"/>
    </xf>
    <xf numFmtId="6" fontId="0" fillId="4" borderId="18" xfId="0" applyNumberFormat="1" applyFill="1" applyBorder="1" applyAlignment="1" applyProtection="1">
      <alignment vertical="center"/>
      <protection hidden="1"/>
    </xf>
    <xf numFmtId="10" fontId="0" fillId="4" borderId="18" xfId="3" applyNumberFormat="1" applyFont="1" applyFill="1" applyBorder="1" applyAlignment="1" applyProtection="1">
      <alignment vertical="center"/>
      <protection hidden="1"/>
    </xf>
    <xf numFmtId="0" fontId="2" fillId="0" borderId="0" xfId="0" applyFont="1" applyAlignment="1" applyProtection="1">
      <alignment horizontal="left" vertical="top" wrapText="1"/>
      <protection hidden="1"/>
    </xf>
    <xf numFmtId="3" fontId="0" fillId="2" borderId="18" xfId="0" applyNumberFormat="1" applyFill="1" applyBorder="1" applyAlignment="1" applyProtection="1">
      <alignment horizontal="center" vertical="center"/>
      <protection locked="0"/>
    </xf>
    <xf numFmtId="0" fontId="0" fillId="0" borderId="2" xfId="0" applyBorder="1" applyProtection="1">
      <protection locked="0" hidden="1"/>
    </xf>
    <xf numFmtId="14" fontId="0" fillId="0" borderId="2" xfId="0" applyNumberFormat="1" applyBorder="1" applyProtection="1">
      <protection locked="0" hidden="1"/>
    </xf>
    <xf numFmtId="0" fontId="0" fillId="0" borderId="2" xfId="0" applyBorder="1" applyAlignment="1" applyProtection="1">
      <alignment wrapText="1"/>
      <protection locked="0" hidden="1"/>
    </xf>
    <xf numFmtId="164" fontId="0" fillId="0" borderId="2" xfId="0" applyNumberFormat="1" applyBorder="1" applyProtection="1">
      <protection locked="0" hidden="1"/>
    </xf>
    <xf numFmtId="0" fontId="0" fillId="2" borderId="17" xfId="0" applyFill="1" applyBorder="1" applyAlignment="1" applyProtection="1">
      <alignment horizontal="left"/>
      <protection locked="0" hidden="1"/>
    </xf>
    <xf numFmtId="0" fontId="0" fillId="2" borderId="17" xfId="0" applyFill="1" applyBorder="1" applyAlignment="1" applyProtection="1">
      <alignment vertical="center" wrapText="1"/>
      <protection locked="0" hidden="1"/>
    </xf>
    <xf numFmtId="165" fontId="0" fillId="2" borderId="17" xfId="0" applyNumberFormat="1" applyFill="1" applyBorder="1" applyProtection="1">
      <protection locked="0" hidden="1"/>
    </xf>
    <xf numFmtId="171" fontId="14" fillId="4" borderId="17" xfId="1" applyNumberFormat="1" applyFont="1" applyFill="1" applyBorder="1" applyAlignment="1" applyProtection="1">
      <alignment horizontal="right" vertical="center"/>
      <protection hidden="1"/>
    </xf>
    <xf numFmtId="171" fontId="14" fillId="4" borderId="17" xfId="4" applyNumberFormat="1" applyFont="1" applyFill="1" applyBorder="1" applyAlignment="1" applyProtection="1">
      <alignment horizontal="right" vertical="top"/>
      <protection hidden="1"/>
    </xf>
    <xf numFmtId="172" fontId="14" fillId="4" borderId="16" xfId="1" applyNumberFormat="1" applyFont="1" applyFill="1" applyBorder="1" applyAlignment="1" applyProtection="1">
      <alignment horizontal="right" vertical="center"/>
      <protection hidden="1"/>
    </xf>
    <xf numFmtId="172" fontId="14" fillId="4" borderId="16" xfId="4" applyNumberFormat="1" applyFont="1" applyFill="1" applyBorder="1" applyAlignment="1" applyProtection="1">
      <alignment horizontal="right" vertical="top"/>
      <protection hidden="1"/>
    </xf>
    <xf numFmtId="171" fontId="12" fillId="4" borderId="17" xfId="4" applyNumberFormat="1" applyFont="1" applyFill="1" applyBorder="1" applyAlignment="1" applyProtection="1">
      <alignment horizontal="right" vertical="center" wrapText="1"/>
      <protection hidden="1"/>
    </xf>
    <xf numFmtId="171" fontId="12" fillId="4" borderId="24" xfId="4" applyNumberFormat="1" applyFont="1" applyFill="1" applyBorder="1" applyAlignment="1" applyProtection="1">
      <alignment horizontal="right" vertical="center" wrapText="1"/>
      <protection hidden="1"/>
    </xf>
    <xf numFmtId="171" fontId="12" fillId="4" borderId="25" xfId="4" applyNumberFormat="1" applyFont="1" applyFill="1" applyBorder="1" applyAlignment="1" applyProtection="1">
      <alignment horizontal="right" vertical="center" wrapText="1"/>
      <protection hidden="1"/>
    </xf>
    <xf numFmtId="171" fontId="12" fillId="4" borderId="27" xfId="4" applyNumberFormat="1" applyFont="1" applyFill="1" applyBorder="1" applyAlignment="1" applyProtection="1">
      <alignment horizontal="right" vertical="center" wrapText="1"/>
      <protection hidden="1"/>
    </xf>
    <xf numFmtId="171" fontId="12" fillId="4" borderId="26" xfId="4" applyNumberFormat="1" applyFont="1" applyFill="1" applyBorder="1" applyAlignment="1" applyProtection="1">
      <alignment horizontal="right" vertical="center" wrapText="1"/>
      <protection hidden="1"/>
    </xf>
    <xf numFmtId="171" fontId="13" fillId="4" borderId="22" xfId="4" applyNumberFormat="1" applyFont="1" applyFill="1" applyBorder="1" applyAlignment="1" applyProtection="1">
      <alignment horizontal="right" vertical="center" wrapText="1"/>
      <protection hidden="1"/>
    </xf>
    <xf numFmtId="171" fontId="13" fillId="4" borderId="23" xfId="4" applyNumberFormat="1" applyFont="1" applyFill="1" applyBorder="1" applyAlignment="1" applyProtection="1">
      <alignment horizontal="right" vertical="center" wrapText="1"/>
      <protection hidden="1"/>
    </xf>
    <xf numFmtId="171" fontId="24" fillId="4" borderId="20" xfId="1" applyNumberFormat="1" applyFont="1" applyFill="1" applyBorder="1" applyAlignment="1" applyProtection="1">
      <alignment horizontal="right" vertical="center"/>
      <protection hidden="1"/>
    </xf>
    <xf numFmtId="171" fontId="24" fillId="4" borderId="20" xfId="4" applyNumberFormat="1" applyFont="1" applyFill="1" applyBorder="1" applyAlignment="1" applyProtection="1">
      <alignment horizontal="right" vertical="top"/>
      <protection hidden="1"/>
    </xf>
    <xf numFmtId="171" fontId="12" fillId="4" borderId="18" xfId="4" applyNumberFormat="1" applyFont="1" applyFill="1" applyBorder="1" applyAlignment="1" applyProtection="1">
      <alignment horizontal="right" vertical="center" wrapText="1"/>
      <protection hidden="1"/>
    </xf>
    <xf numFmtId="0" fontId="24" fillId="44" borderId="20" xfId="4" applyFont="1" applyFill="1" applyBorder="1" applyAlignment="1" applyProtection="1">
      <alignment horizontal="right" vertical="top" indent="1"/>
      <protection hidden="1"/>
    </xf>
    <xf numFmtId="164" fontId="13" fillId="4" borderId="20" xfId="4" applyNumberFormat="1" applyFont="1" applyFill="1" applyBorder="1" applyAlignment="1" applyProtection="1">
      <alignment horizontal="right" vertical="center" wrapText="1"/>
      <protection hidden="1"/>
    </xf>
    <xf numFmtId="0" fontId="24" fillId="44" borderId="2" xfId="4" applyFont="1" applyFill="1" applyBorder="1" applyAlignment="1" applyProtection="1">
      <alignment horizontal="right" vertical="top" indent="1"/>
      <protection hidden="1"/>
    </xf>
    <xf numFmtId="171" fontId="13" fillId="4" borderId="2" xfId="4" applyNumberFormat="1" applyFont="1" applyFill="1" applyBorder="1" applyAlignment="1" applyProtection="1">
      <alignment horizontal="right" vertical="center" wrapText="1"/>
      <protection hidden="1"/>
    </xf>
    <xf numFmtId="171" fontId="13" fillId="4" borderId="3" xfId="4" applyNumberFormat="1" applyFont="1" applyFill="1" applyBorder="1" applyAlignment="1" applyProtection="1">
      <alignment horizontal="right" vertical="center" wrapText="1"/>
      <protection hidden="1"/>
    </xf>
    <xf numFmtId="171" fontId="8" fillId="4" borderId="16" xfId="4" applyNumberFormat="1" applyFont="1" applyFill="1" applyBorder="1" applyAlignment="1" applyProtection="1">
      <alignment horizontal="right" vertical="center" wrapText="1"/>
      <protection hidden="1"/>
    </xf>
    <xf numFmtId="171" fontId="8" fillId="4" borderId="17" xfId="4" applyNumberFormat="1" applyFont="1" applyFill="1" applyBorder="1" applyAlignment="1" applyProtection="1">
      <alignment horizontal="right" vertical="center" wrapText="1"/>
      <protection hidden="1"/>
    </xf>
    <xf numFmtId="171" fontId="8" fillId="4" borderId="18" xfId="4" applyNumberFormat="1" applyFont="1" applyFill="1" applyBorder="1" applyAlignment="1" applyProtection="1">
      <alignment horizontal="right" vertical="center" wrapText="1"/>
      <protection hidden="1"/>
    </xf>
    <xf numFmtId="171" fontId="7" fillId="4" borderId="16" xfId="4" applyNumberFormat="1" applyFont="1" applyFill="1" applyBorder="1" applyAlignment="1" applyProtection="1">
      <alignment horizontal="right" vertical="center" wrapText="1"/>
      <protection hidden="1"/>
    </xf>
    <xf numFmtId="171" fontId="8" fillId="4" borderId="18" xfId="4" applyNumberFormat="1" applyFont="1" applyFill="1" applyBorder="1" applyAlignment="1" applyProtection="1">
      <alignment horizontal="right" vertical="top" wrapText="1"/>
      <protection hidden="1"/>
    </xf>
    <xf numFmtId="171" fontId="7" fillId="4" borderId="2" xfId="4" applyNumberFormat="1" applyFont="1" applyFill="1" applyBorder="1" applyAlignment="1" applyProtection="1">
      <alignment horizontal="right" vertical="center" wrapText="1"/>
      <protection hidden="1"/>
    </xf>
    <xf numFmtId="171" fontId="14" fillId="4" borderId="17" xfId="2" applyNumberFormat="1" applyFont="1" applyFill="1" applyBorder="1" applyAlignment="1" applyProtection="1">
      <alignment horizontal="right" vertical="center"/>
      <protection hidden="1"/>
    </xf>
    <xf numFmtId="171" fontId="14" fillId="4" borderId="17" xfId="2" applyNumberFormat="1" applyFont="1" applyFill="1" applyBorder="1" applyAlignment="1" applyProtection="1">
      <alignment horizontal="right" vertical="top"/>
      <protection hidden="1"/>
    </xf>
    <xf numFmtId="171" fontId="14" fillId="4" borderId="18" xfId="2" applyNumberFormat="1" applyFont="1" applyFill="1" applyBorder="1" applyAlignment="1" applyProtection="1">
      <alignment horizontal="right" vertical="center"/>
      <protection hidden="1"/>
    </xf>
    <xf numFmtId="171" fontId="14" fillId="4" borderId="18" xfId="2" applyNumberFormat="1" applyFont="1" applyFill="1" applyBorder="1" applyAlignment="1" applyProtection="1">
      <alignment horizontal="right" vertical="top"/>
      <protection hidden="1"/>
    </xf>
    <xf numFmtId="0" fontId="2" fillId="0" borderId="0" xfId="0" applyFont="1" applyAlignment="1" applyProtection="1">
      <alignment horizontal="center"/>
      <protection hidden="1"/>
    </xf>
    <xf numFmtId="0" fontId="30" fillId="43" borderId="2" xfId="0" applyFont="1" applyFill="1" applyBorder="1" applyAlignment="1" applyProtection="1">
      <alignment horizontal="center" vertical="center" wrapText="1"/>
      <protection hidden="1"/>
    </xf>
    <xf numFmtId="173" fontId="0" fillId="2" borderId="23" xfId="0" applyNumberFormat="1" applyFill="1" applyBorder="1" applyAlignment="1" applyProtection="1">
      <alignment horizontal="center"/>
      <protection locked="0"/>
    </xf>
    <xf numFmtId="0" fontId="46" fillId="0" borderId="0" xfId="0" applyFont="1"/>
    <xf numFmtId="173" fontId="0" fillId="2" borderId="24" xfId="0" applyNumberFormat="1" applyFill="1" applyBorder="1" applyAlignment="1" applyProtection="1">
      <alignment horizontal="center"/>
      <protection locked="0"/>
    </xf>
    <xf numFmtId="173" fontId="0" fillId="2" borderId="26" xfId="0" applyNumberFormat="1" applyFill="1" applyBorder="1" applyAlignment="1" applyProtection="1">
      <alignment horizont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44" borderId="17" xfId="0" applyFill="1" applyBorder="1"/>
    <xf numFmtId="0" fontId="0" fillId="44" borderId="18" xfId="0" applyFill="1" applyBorder="1"/>
    <xf numFmtId="0" fontId="0" fillId="2" borderId="2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24" fillId="44" borderId="2" xfId="4" applyFont="1" applyFill="1" applyBorder="1" applyAlignment="1" applyProtection="1">
      <alignment horizontal="right" vertical="top" wrapText="1" indent="1"/>
      <protection hidden="1"/>
    </xf>
    <xf numFmtId="0" fontId="8" fillId="44" borderId="28" xfId="4" applyFont="1" applyFill="1" applyBorder="1" applyAlignment="1" applyProtection="1">
      <alignment horizontal="right" vertical="top" wrapText="1" indent="1"/>
      <protection hidden="1"/>
    </xf>
    <xf numFmtId="172" fontId="14" fillId="4" borderId="28" xfId="1" applyNumberFormat="1" applyFont="1" applyFill="1" applyBorder="1" applyAlignment="1" applyProtection="1">
      <alignment horizontal="right" vertical="center"/>
      <protection hidden="1"/>
    </xf>
    <xf numFmtId="172" fontId="14" fillId="4" borderId="28" xfId="4" applyNumberFormat="1" applyFont="1" applyFill="1" applyBorder="1" applyAlignment="1" applyProtection="1">
      <alignment horizontal="right" vertical="top"/>
      <protection hidden="1"/>
    </xf>
    <xf numFmtId="171" fontId="14" fillId="4" borderId="28" xfId="1" applyNumberFormat="1" applyFont="1" applyFill="1" applyBorder="1" applyAlignment="1" applyProtection="1">
      <alignment horizontal="right" vertical="center"/>
      <protection hidden="1"/>
    </xf>
    <xf numFmtId="171" fontId="14" fillId="4" borderId="28" xfId="4" applyNumberFormat="1" applyFont="1" applyFill="1" applyBorder="1" applyAlignment="1" applyProtection="1">
      <alignment horizontal="right" vertical="top"/>
      <protection hidden="1"/>
    </xf>
    <xf numFmtId="172" fontId="14" fillId="4" borderId="18" xfId="1" applyNumberFormat="1" applyFont="1" applyFill="1" applyBorder="1" applyAlignment="1" applyProtection="1">
      <alignment horizontal="right" vertical="center"/>
      <protection hidden="1"/>
    </xf>
    <xf numFmtId="172" fontId="14" fillId="4" borderId="18" xfId="4" applyNumberFormat="1" applyFont="1" applyFill="1" applyBorder="1" applyAlignment="1" applyProtection="1">
      <alignment horizontal="right" vertical="top"/>
      <protection hidden="1"/>
    </xf>
    <xf numFmtId="164" fontId="24" fillId="4" borderId="20" xfId="2" applyNumberFormat="1" applyFont="1" applyFill="1" applyBorder="1" applyAlignment="1" applyProtection="1">
      <alignment horizontal="right" vertical="center"/>
      <protection hidden="1"/>
    </xf>
    <xf numFmtId="171" fontId="24" fillId="4" borderId="2" xfId="2" applyNumberFormat="1" applyFont="1" applyFill="1" applyBorder="1" applyAlignment="1" applyProtection="1">
      <alignment horizontal="right" vertical="center"/>
      <protection hidden="1"/>
    </xf>
    <xf numFmtId="171" fontId="24" fillId="4" borderId="2" xfId="2" applyNumberFormat="1" applyFont="1" applyFill="1" applyBorder="1" applyAlignment="1" applyProtection="1">
      <alignment horizontal="right" vertical="top"/>
      <protection hidden="1"/>
    </xf>
    <xf numFmtId="0" fontId="52" fillId="0" borderId="0" xfId="4" applyFont="1" applyAlignment="1" applyProtection="1">
      <alignment horizontal="left" vertical="top"/>
      <protection hidden="1"/>
    </xf>
    <xf numFmtId="165" fontId="14" fillId="4" borderId="17" xfId="1" applyNumberFormat="1" applyFont="1" applyFill="1" applyBorder="1" applyAlignment="1" applyProtection="1">
      <alignment horizontal="right" vertical="center"/>
      <protection hidden="1"/>
    </xf>
    <xf numFmtId="165" fontId="14" fillId="4" borderId="16" xfId="1" applyNumberFormat="1" applyFont="1" applyFill="1" applyBorder="1" applyAlignment="1" applyProtection="1">
      <alignment horizontal="right" vertical="center"/>
      <protection hidden="1"/>
    </xf>
    <xf numFmtId="165" fontId="14" fillId="4" borderId="16" xfId="1" applyNumberFormat="1" applyFont="1" applyFill="1" applyBorder="1" applyAlignment="1" applyProtection="1">
      <alignment horizontal="right" vertical="top"/>
      <protection hidden="1"/>
    </xf>
    <xf numFmtId="165" fontId="14" fillId="4" borderId="17" xfId="1" applyNumberFormat="1" applyFont="1" applyFill="1" applyBorder="1" applyAlignment="1" applyProtection="1">
      <alignment horizontal="right" vertical="top"/>
      <protection hidden="1"/>
    </xf>
    <xf numFmtId="165" fontId="13" fillId="4" borderId="2" xfId="1" applyNumberFormat="1" applyFont="1" applyFill="1" applyBorder="1" applyAlignment="1" applyProtection="1">
      <alignment horizontal="right" vertical="center" wrapText="1"/>
      <protection hidden="1"/>
    </xf>
    <xf numFmtId="165" fontId="13" fillId="4" borderId="3" xfId="1" applyNumberFormat="1" applyFont="1" applyFill="1" applyBorder="1" applyAlignment="1" applyProtection="1">
      <alignment horizontal="right" vertical="center" wrapText="1"/>
      <protection hidden="1"/>
    </xf>
    <xf numFmtId="164" fontId="0" fillId="0" borderId="2" xfId="0" quotePrefix="1" applyNumberFormat="1" applyBorder="1" applyAlignment="1" applyProtection="1">
      <alignment horizontal="right"/>
      <protection locked="0" hidden="1"/>
    </xf>
    <xf numFmtId="164" fontId="0" fillId="0" borderId="2" xfId="0" applyNumberFormat="1" applyBorder="1" applyAlignment="1" applyProtection="1">
      <alignment horizontal="right"/>
      <protection locked="0" hidden="1"/>
    </xf>
    <xf numFmtId="0" fontId="0" fillId="0" borderId="0" xfId="0" applyAlignment="1">
      <alignment horizontal="center"/>
    </xf>
    <xf numFmtId="0" fontId="41" fillId="0" borderId="0" xfId="49" applyAlignment="1">
      <alignment horizontal="left"/>
    </xf>
    <xf numFmtId="10" fontId="0" fillId="0" borderId="0" xfId="0" applyNumberFormat="1" applyAlignment="1">
      <alignment horizontal="center"/>
    </xf>
    <xf numFmtId="44" fontId="0" fillId="0" borderId="2" xfId="2" applyFont="1" applyBorder="1"/>
    <xf numFmtId="0" fontId="53" fillId="0" borderId="0" xfId="0" applyFont="1" applyProtection="1">
      <protection hidden="1"/>
    </xf>
    <xf numFmtId="0" fontId="53" fillId="42" borderId="0" xfId="0" applyFont="1" applyFill="1" applyProtection="1">
      <protection hidden="1"/>
    </xf>
    <xf numFmtId="0" fontId="53" fillId="0" borderId="0" xfId="0" applyFont="1" applyAlignment="1" applyProtection="1">
      <alignment wrapText="1"/>
      <protection hidden="1"/>
    </xf>
    <xf numFmtId="0" fontId="53" fillId="0" borderId="0" xfId="0" applyFont="1" applyAlignment="1" applyProtection="1">
      <alignment horizontal="left"/>
      <protection hidden="1"/>
    </xf>
    <xf numFmtId="0" fontId="34" fillId="0" borderId="0" xfId="41" applyAlignment="1" applyProtection="1">
      <alignment horizontal="left" vertical="center" readingOrder="1"/>
      <protection hidden="1"/>
    </xf>
    <xf numFmtId="0" fontId="53" fillId="0" borderId="0" xfId="0" applyFont="1"/>
    <xf numFmtId="0" fontId="53" fillId="0" borderId="0" xfId="0" applyFont="1" applyAlignment="1">
      <alignment wrapText="1"/>
    </xf>
    <xf numFmtId="0" fontId="55" fillId="0" borderId="0" xfId="0" applyFont="1" applyAlignment="1">
      <alignment vertical="center" wrapText="1"/>
    </xf>
    <xf numFmtId="0" fontId="53" fillId="2" borderId="0" xfId="0" applyFont="1" applyFill="1" applyAlignment="1">
      <alignment wrapText="1"/>
    </xf>
    <xf numFmtId="0" fontId="53" fillId="45" borderId="0" xfId="0" applyFont="1" applyFill="1" applyAlignment="1">
      <alignment wrapText="1"/>
    </xf>
    <xf numFmtId="0" fontId="53" fillId="4" borderId="0" xfId="0" applyFont="1" applyFill="1" applyAlignment="1">
      <alignment wrapText="1"/>
    </xf>
    <xf numFmtId="0" fontId="56" fillId="0" borderId="2" xfId="0" applyFont="1" applyBorder="1" applyAlignment="1">
      <alignment horizontal="left" vertical="center" wrapText="1"/>
    </xf>
    <xf numFmtId="0" fontId="53" fillId="0" borderId="2" xfId="0" applyFont="1" applyBorder="1" applyAlignment="1">
      <alignment vertical="center" wrapText="1"/>
    </xf>
    <xf numFmtId="0" fontId="57" fillId="0" borderId="20" xfId="0" applyFont="1" applyBorder="1" applyAlignment="1">
      <alignment horizontal="left" vertical="center" wrapText="1"/>
    </xf>
    <xf numFmtId="0" fontId="58" fillId="0" borderId="0" xfId="0" applyFont="1" applyAlignment="1">
      <alignment vertical="center" wrapText="1"/>
    </xf>
    <xf numFmtId="0" fontId="58" fillId="0" borderId="0" xfId="0" applyFont="1" applyAlignment="1">
      <alignment wrapText="1"/>
    </xf>
    <xf numFmtId="0" fontId="54" fillId="42" borderId="0" xfId="0" applyFont="1" applyFill="1" applyProtection="1">
      <protection hidden="1"/>
    </xf>
    <xf numFmtId="0" fontId="59" fillId="0" borderId="18" xfId="0" applyFont="1" applyBorder="1" applyAlignment="1">
      <alignment horizontal="left" vertical="center" wrapText="1"/>
    </xf>
    <xf numFmtId="0" fontId="60" fillId="0" borderId="2" xfId="0" applyFont="1" applyBorder="1" applyAlignment="1">
      <alignment vertical="center" wrapText="1"/>
    </xf>
    <xf numFmtId="0" fontId="54" fillId="0" borderId="0" xfId="0" applyFont="1" applyAlignment="1" applyProtection="1">
      <alignment horizontal="left" vertical="center"/>
      <protection hidden="1"/>
    </xf>
    <xf numFmtId="0" fontId="55" fillId="0" borderId="0" xfId="0" applyFont="1" applyAlignment="1" applyProtection="1">
      <alignment horizontal="left" vertical="center"/>
      <protection hidden="1"/>
    </xf>
    <xf numFmtId="166" fontId="2" fillId="44" borderId="4" xfId="0" applyNumberFormat="1" applyFont="1" applyFill="1" applyBorder="1" applyAlignment="1" applyProtection="1">
      <alignment horizontal="center" vertical="center" wrapText="1"/>
      <protection hidden="1"/>
    </xf>
    <xf numFmtId="166" fontId="2" fillId="44" borderId="15" xfId="0" applyNumberFormat="1" applyFont="1" applyFill="1" applyBorder="1" applyAlignment="1" applyProtection="1">
      <alignment horizontal="center" vertical="center" wrapText="1"/>
      <protection hidden="1"/>
    </xf>
    <xf numFmtId="166" fontId="2" fillId="44" borderId="3" xfId="0" applyNumberFormat="1" applyFont="1" applyFill="1" applyBorder="1" applyAlignment="1" applyProtection="1">
      <alignment horizontal="center" vertical="center" wrapText="1"/>
      <protection hidden="1"/>
    </xf>
    <xf numFmtId="0" fontId="2" fillId="44" borderId="4" xfId="0" applyFont="1" applyFill="1" applyBorder="1" applyAlignment="1" applyProtection="1">
      <alignment horizontal="center" vertical="center" wrapText="1"/>
      <protection hidden="1"/>
    </xf>
    <xf numFmtId="0" fontId="2" fillId="44" borderId="3" xfId="0" applyFont="1" applyFill="1" applyBorder="1" applyAlignment="1" applyProtection="1">
      <alignment horizontal="center" vertical="center" wrapText="1"/>
      <protection hidden="1"/>
    </xf>
    <xf numFmtId="0" fontId="2" fillId="0" borderId="14" xfId="0" applyFont="1" applyBorder="1" applyAlignment="1" applyProtection="1">
      <alignment horizontal="left" vertical="top" wrapText="1"/>
      <protection hidden="1"/>
    </xf>
    <xf numFmtId="166" fontId="2" fillId="44" borderId="32" xfId="0" applyNumberFormat="1" applyFont="1" applyFill="1" applyBorder="1" applyAlignment="1" applyProtection="1">
      <alignment horizontal="center" vertical="center" wrapText="1"/>
      <protection hidden="1"/>
    </xf>
    <xf numFmtId="166" fontId="2" fillId="44" borderId="33" xfId="0" applyNumberFormat="1" applyFont="1" applyFill="1" applyBorder="1" applyAlignment="1" applyProtection="1">
      <alignment horizontal="center" vertical="center" wrapText="1"/>
      <protection hidden="1"/>
    </xf>
    <xf numFmtId="166" fontId="2" fillId="44" borderId="34" xfId="0" applyNumberFormat="1" applyFont="1" applyFill="1" applyBorder="1" applyAlignment="1" applyProtection="1">
      <alignment horizontal="center" vertical="center" wrapText="1"/>
      <protection hidden="1"/>
    </xf>
    <xf numFmtId="0" fontId="30" fillId="43" borderId="4" xfId="0" applyFont="1" applyFill="1" applyBorder="1" applyAlignment="1" applyProtection="1">
      <alignment horizontal="center" vertical="center" wrapText="1"/>
      <protection hidden="1"/>
    </xf>
    <xf numFmtId="0" fontId="30" fillId="43" borderId="15" xfId="0" applyFont="1" applyFill="1" applyBorder="1" applyAlignment="1" applyProtection="1">
      <alignment horizontal="center" vertical="center" wrapText="1"/>
      <protection hidden="1"/>
    </xf>
    <xf numFmtId="0" fontId="30" fillId="43" borderId="3" xfId="0" applyFont="1" applyFill="1" applyBorder="1" applyAlignment="1" applyProtection="1">
      <alignment horizontal="center" vertical="center" wrapText="1"/>
      <protection hidden="1"/>
    </xf>
    <xf numFmtId="0" fontId="0" fillId="0" borderId="1" xfId="0" applyBorder="1" applyAlignment="1">
      <alignment horizontal="center" vertical="center"/>
    </xf>
    <xf numFmtId="0" fontId="54" fillId="0" borderId="0" xfId="0" applyFont="1" applyProtection="1">
      <protection hidden="1"/>
    </xf>
    <xf numFmtId="0" fontId="62" fillId="0" borderId="0" xfId="0" applyFont="1" applyAlignment="1">
      <alignment wrapText="1"/>
    </xf>
    <xf numFmtId="0" fontId="63" fillId="0" borderId="0" xfId="0" applyFont="1" applyAlignment="1">
      <alignment wrapText="1"/>
    </xf>
    <xf numFmtId="0" fontId="65" fillId="43" borderId="2" xfId="0" applyFont="1" applyFill="1" applyBorder="1" applyAlignment="1">
      <alignment horizontal="left" vertical="center" wrapText="1"/>
    </xf>
    <xf numFmtId="0" fontId="64" fillId="0" borderId="0" xfId="0" applyFont="1" applyAlignment="1">
      <alignment horizontal="center" vertical="center" wrapText="1"/>
    </xf>
    <xf numFmtId="0" fontId="65" fillId="43" borderId="2" xfId="0" applyFont="1" applyFill="1" applyBorder="1" applyAlignment="1">
      <alignment vertical="center" wrapText="1"/>
    </xf>
    <xf numFmtId="0" fontId="62" fillId="0" borderId="0" xfId="0" applyFont="1" applyBorder="1" applyAlignment="1">
      <alignment vertical="center" wrapText="1"/>
    </xf>
    <xf numFmtId="0" fontId="41" fillId="0" borderId="0" xfId="49" applyAlignment="1" applyProtection="1">
      <alignment horizontal="left" vertical="center" readingOrder="1"/>
      <protection hidden="1"/>
    </xf>
    <xf numFmtId="0" fontId="55" fillId="0" borderId="0" xfId="0" applyFont="1" applyAlignment="1">
      <alignment wrapText="1"/>
    </xf>
  </cellXfs>
  <cellStyles count="50">
    <cellStyle name="20% - Accent1" xfId="12" builtinId="30" customBuiltin="1"/>
    <cellStyle name="20% - Accent2" xfId="16" builtinId="34" customBuiltin="1"/>
    <cellStyle name="20% - Accent3" xfId="20" builtinId="38" customBuiltin="1"/>
    <cellStyle name="20% - Accent4" xfId="24" builtinId="42" customBuiltin="1"/>
    <cellStyle name="20% - Accent5" xfId="28" builtinId="46" customBuiltin="1"/>
    <cellStyle name="20% - Accent6" xfId="32" builtinId="50" customBuiltin="1"/>
    <cellStyle name="40% - Accent1" xfId="13" builtinId="31" customBuiltin="1"/>
    <cellStyle name="40% - Accent2" xfId="17" builtinId="35" customBuiltin="1"/>
    <cellStyle name="40% - Accent3" xfId="21" builtinId="39" customBuiltin="1"/>
    <cellStyle name="40% - Accent4" xfId="25" builtinId="43" customBuiltin="1"/>
    <cellStyle name="40% - Accent5" xfId="29" builtinId="47" customBuiltin="1"/>
    <cellStyle name="40% - Accent6" xfId="33" builtinId="51" customBuiltin="1"/>
    <cellStyle name="60% - Accent1" xfId="14" builtinId="32" customBuiltin="1"/>
    <cellStyle name="60% - Accent2" xfId="18" builtinId="36" customBuiltin="1"/>
    <cellStyle name="60% - Accent3" xfId="22" builtinId="40" customBuiltin="1"/>
    <cellStyle name="60% - Accent4" xfId="26" builtinId="44" customBuiltin="1"/>
    <cellStyle name="60% - Accent5" xfId="30" builtinId="48" customBuiltin="1"/>
    <cellStyle name="60% - Accent6" xfId="34" builtinId="52" customBuiltin="1"/>
    <cellStyle name="Accent1" xfId="11" builtinId="29" customBuiltin="1"/>
    <cellStyle name="Accent2" xfId="15" builtinId="33" customBuiltin="1"/>
    <cellStyle name="Accent3" xfId="19" builtinId="37" customBuiltin="1"/>
    <cellStyle name="Accent4" xfId="23" builtinId="41" customBuiltin="1"/>
    <cellStyle name="Accent5" xfId="27" builtinId="45" customBuiltin="1"/>
    <cellStyle name="Accent6" xfId="31" builtinId="49" customBuiltin="1"/>
    <cellStyle name="Bad" xfId="8" builtinId="27" customBuiltin="1"/>
    <cellStyle name="Calculation 2" xfId="37" xr:uid="{E289729C-7724-4548-AFA1-D49BCE249261}"/>
    <cellStyle name="Calculation 3" xfId="36" xr:uid="{FD434683-EB9D-4E8D-9AB2-D7B09FEE866A}"/>
    <cellStyle name="Check Cell" xfId="10" builtinId="23" customBuiltin="1"/>
    <cellStyle name="Comma" xfId="1" builtinId="3"/>
    <cellStyle name="Comma 2" xfId="38" xr:uid="{ED798A02-01B6-4709-BDEC-5A20031ED765}"/>
    <cellStyle name="Currency" xfId="2" builtinId="4"/>
    <cellStyle name="Explanatory Text 2" xfId="39" xr:uid="{24BC5157-2999-42F9-ADD2-47B9E54325C7}"/>
    <cellStyle name="Followed Hyperlink" xfId="40" builtinId="9" customBuiltin="1"/>
    <cellStyle name="Good" xfId="7" builtinId="26" customBuiltin="1"/>
    <cellStyle name="Hyperlink" xfId="41" builtinId="8" customBuiltin="1"/>
    <cellStyle name="Hyperlink 2" xfId="49" xr:uid="{AD24E5B0-54B7-4BF1-8434-07CE7722A19F}"/>
    <cellStyle name="Input 2" xfId="42" xr:uid="{6248FEEC-4B61-4F09-A9A5-D17751091A7A}"/>
    <cellStyle name="Input data" xfId="43" xr:uid="{73E3B261-DE29-4863-AD65-1BD0D9985B56}"/>
    <cellStyle name="Linked Cell 2" xfId="44" xr:uid="{300A1FA5-0041-4C31-9F04-16CADDB52A6D}"/>
    <cellStyle name="Neutral" xfId="9" builtinId="28" customBuiltin="1"/>
    <cellStyle name="Normal" xfId="0" builtinId="0"/>
    <cellStyle name="Normal 2" xfId="4" xr:uid="{D4785BD5-31C6-4F53-ACC1-E2DC6D722573}"/>
    <cellStyle name="Normal 3" xfId="5" xr:uid="{8170035F-9800-4A48-A4DA-F10DAEB54200}"/>
    <cellStyle name="Normal 4" xfId="35" xr:uid="{82735B9E-0519-45FE-9691-7524C9BB1593}"/>
    <cellStyle name="Note 2" xfId="45" xr:uid="{7F3C6B3F-98CE-40A9-BAB6-B49609F2E3B1}"/>
    <cellStyle name="Output 2" xfId="46" xr:uid="{A7D7767B-16B5-4A45-8FFF-001A2839B03B}"/>
    <cellStyle name="Percent" xfId="3" builtinId="5"/>
    <cellStyle name="Selection" xfId="47" xr:uid="{4967B313-FEDD-4BE3-83DE-94AEEADB2067}"/>
    <cellStyle name="Title" xfId="6" builtinId="15" customBuiltin="1"/>
    <cellStyle name="Warning Text 2" xfId="48" xr:uid="{299215BB-84DC-4D56-99F3-08A86C75D78E}"/>
  </cellStyles>
  <dxfs count="0"/>
  <tableStyles count="0" defaultTableStyle="TableStyleMedium2" defaultPivotStyle="PivotStyleLight16"/>
  <colors>
    <mruColors>
      <color rgb="FF9BC2E6"/>
      <color rgb="FFFFFFCC"/>
      <color rgb="FF89B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3.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3809</xdr:colOff>
      <xdr:row>19</xdr:row>
      <xdr:rowOff>36195</xdr:rowOff>
    </xdr:from>
    <xdr:to>
      <xdr:col>4</xdr:col>
      <xdr:colOff>0</xdr:colOff>
      <xdr:row>40</xdr:row>
      <xdr:rowOff>167640</xdr:rowOff>
    </xdr:to>
    <xdr:sp macro="" textlink="">
      <xdr:nvSpPr>
        <xdr:cNvPr id="3" name="Rectangle 2">
          <a:extLst>
            <a:ext uri="{FF2B5EF4-FFF2-40B4-BE49-F238E27FC236}">
              <a16:creationId xmlns:a16="http://schemas.microsoft.com/office/drawing/2014/main" id="{E63CD93E-E064-4B5B-B3B9-7343351B4567}"/>
            </a:ext>
          </a:extLst>
        </xdr:cNvPr>
        <xdr:cNvSpPr/>
      </xdr:nvSpPr>
      <xdr:spPr>
        <a:xfrm>
          <a:off x="251459" y="4446270"/>
          <a:ext cx="7511416" cy="453199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1" i="0" u="sng"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Licence and disclaimer</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1" i="0" u="sng"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This document has been prepared by Energy Systems Catapult Limited (“ESC”) working on behalf of Department for Energy Security and Net Zero ("DESNZ") and Government Property Function (“GPF”). </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The document and its contents have been prepared in good faith, based upon the information available to ESC at the time of writing and are made available “as is” without any representations, conditions, warranties or other terms of any kind. The ESC and the authors, together with DESNZ, GPF, their employees, directors, servants or agents exclude to the maximum extent permissible by law all representations, warranties, conditions or other terms whatsoever (whether express or implied) regarding the use of this document or its content including any warranties of title, merchantability, accuracy, completeness, non-infringement or that the document or its contents are of satisfactory or any particular quality or fit for any particular purpose. </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Any person accessing this document and using it, or any of its contents, is solely responsible for determining the appropriateness of any reliance put on it and assumes all risks in doing so.</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All content of this document is copyright © 2023 Energy Systems Catapult Limited. The information in this document is the property of the ESC.  You may copy, publish, distribute or otherwise transmit the information PROVIDED THAT you acknowledge that the information contains copyright information of the ESC and include the following acknowledgement “Information taken from </a:t>
          </a:r>
          <a:r>
            <a:rPr lang="en-GB" sz="1200">
              <a:solidFill>
                <a:sysClr val="windowText" lastClr="000000"/>
              </a:solidFill>
              <a:latin typeface="Segoe UI" panose="020B0502040204020203" pitchFamily="34" charset="0"/>
              <a:cs typeface="Segoe UI" panose="020B0502040204020203" pitchFamily="34" charset="0"/>
            </a:rPr>
            <a:t>BMS intervention estimator </a:t>
          </a: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created by the Energy Systems Catapult Limited”.</a:t>
          </a:r>
        </a:p>
      </xdr:txBody>
    </xdr:sp>
    <xdr:clientData/>
  </xdr:twoCellAnchor>
  <xdr:twoCellAnchor>
    <xdr:from>
      <xdr:col>2</xdr:col>
      <xdr:colOff>2466975</xdr:colOff>
      <xdr:row>1</xdr:row>
      <xdr:rowOff>123825</xdr:rowOff>
    </xdr:from>
    <xdr:to>
      <xdr:col>4</xdr:col>
      <xdr:colOff>329770</xdr:colOff>
      <xdr:row>5</xdr:row>
      <xdr:rowOff>106646</xdr:rowOff>
    </xdr:to>
    <xdr:grpSp>
      <xdr:nvGrpSpPr>
        <xdr:cNvPr id="4" name="Group 3">
          <a:extLst>
            <a:ext uri="{FF2B5EF4-FFF2-40B4-BE49-F238E27FC236}">
              <a16:creationId xmlns:a16="http://schemas.microsoft.com/office/drawing/2014/main" id="{4E088C35-950D-050A-3968-7F323DD58BC5}"/>
            </a:ext>
          </a:extLst>
        </xdr:cNvPr>
        <xdr:cNvGrpSpPr/>
      </xdr:nvGrpSpPr>
      <xdr:grpSpPr>
        <a:xfrm>
          <a:off x="3789045" y="335280"/>
          <a:ext cx="4299790" cy="817211"/>
          <a:chOff x="4100627" y="2995295"/>
          <a:chExt cx="4297885" cy="819116"/>
        </a:xfrm>
      </xdr:grpSpPr>
      <xdr:pic>
        <xdr:nvPicPr>
          <xdr:cNvPr id="5" name="Picture 4">
            <a:extLst>
              <a:ext uri="{FF2B5EF4-FFF2-40B4-BE49-F238E27FC236}">
                <a16:creationId xmlns:a16="http://schemas.microsoft.com/office/drawing/2014/main" id="{5146F372-8E2A-B84A-102F-1667C664490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5117374" y="2995295"/>
            <a:ext cx="947673" cy="361262"/>
          </a:xfrm>
          <a:prstGeom prst="rect">
            <a:avLst/>
          </a:prstGeom>
        </xdr:spPr>
      </xdr:pic>
      <xdr:pic>
        <xdr:nvPicPr>
          <xdr:cNvPr id="9" name="Picture 8" descr="Graphical user interface, text&#10;&#10;Description automatically generated">
            <a:extLst>
              <a:ext uri="{FF2B5EF4-FFF2-40B4-BE49-F238E27FC236}">
                <a16:creationId xmlns:a16="http://schemas.microsoft.com/office/drawing/2014/main" id="{BE11DF18-611A-13A4-7877-C2675B9940B2}"/>
              </a:ext>
            </a:extLst>
          </xdr:cNvPr>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37340"/>
          <a:stretch/>
        </xdr:blipFill>
        <xdr:spPr bwMode="auto">
          <a:xfrm>
            <a:off x="6065047" y="2995295"/>
            <a:ext cx="2333465" cy="819116"/>
          </a:xfrm>
          <a:prstGeom prst="rect">
            <a:avLst/>
          </a:prstGeom>
          <a:noFill/>
          <a:ln>
            <a:noFill/>
          </a:ln>
        </xdr:spPr>
      </xdr:pic>
      <xdr:pic>
        <xdr:nvPicPr>
          <xdr:cNvPr id="10" name="Picture 9">
            <a:extLst>
              <a:ext uri="{FF2B5EF4-FFF2-40B4-BE49-F238E27FC236}">
                <a16:creationId xmlns:a16="http://schemas.microsoft.com/office/drawing/2014/main" id="{CC50E0DB-2E2D-2387-4CBE-215D36C446E1}"/>
              </a:ext>
            </a:extLst>
          </xdr:cNvPr>
          <xdr:cNvPicPr>
            <a:picLocks noChangeAspect="1"/>
          </xdr:cNvPicPr>
        </xdr:nvPicPr>
        <xdr:blipFill>
          <a:blip xmlns:r="http://schemas.openxmlformats.org/officeDocument/2006/relationships" r:embed="rId5"/>
          <a:stretch>
            <a:fillRect/>
          </a:stretch>
        </xdr:blipFill>
        <xdr:spPr>
          <a:xfrm>
            <a:off x="4100627" y="2995295"/>
            <a:ext cx="1016748" cy="678185"/>
          </a:xfrm>
          <a:prstGeom prst="rect">
            <a:avLst/>
          </a:prstGeom>
        </xdr:spPr>
      </xdr:pic>
    </xdr:grpSp>
    <xdr:clientData/>
  </xdr:twoCellAnchor>
  <xdr:twoCellAnchor editAs="oneCell">
    <xdr:from>
      <xdr:col>3</xdr:col>
      <xdr:colOff>2901412</xdr:colOff>
      <xdr:row>6</xdr:row>
      <xdr:rowOff>150442</xdr:rowOff>
    </xdr:from>
    <xdr:to>
      <xdr:col>4</xdr:col>
      <xdr:colOff>359977</xdr:colOff>
      <xdr:row>16</xdr:row>
      <xdr:rowOff>190493</xdr:rowOff>
    </xdr:to>
    <xdr:pic>
      <xdr:nvPicPr>
        <xdr:cNvPr id="13" name="Picture 12">
          <a:extLst>
            <a:ext uri="{FF2B5EF4-FFF2-40B4-BE49-F238E27FC236}">
              <a16:creationId xmlns:a16="http://schemas.microsoft.com/office/drawing/2014/main" id="{C327630C-464A-08A9-E92D-37A7005C01F1}"/>
            </a:ext>
          </a:extLst>
        </xdr:cNvPr>
        <xdr:cNvPicPr>
          <a:picLocks noChangeAspect="1"/>
        </xdr:cNvPicPr>
      </xdr:nvPicPr>
      <xdr:blipFill rotWithShape="1">
        <a:blip xmlns:r="http://schemas.openxmlformats.org/officeDocument/2006/relationships" r:embed="rId6" cstate="print">
          <a:alphaModFix amt="20000"/>
          <a:extLst>
            <a:ext uri="{28A0092B-C50C-407E-A947-70E740481C1C}">
              <a14:useLocalDpi xmlns:a14="http://schemas.microsoft.com/office/drawing/2010/main" val="0"/>
            </a:ext>
          </a:extLst>
        </a:blip>
        <a:srcRect l="37226" t="33615" r="34809" b="24807"/>
        <a:stretch/>
      </xdr:blipFill>
      <xdr:spPr>
        <a:xfrm>
          <a:off x="6787612" y="1407742"/>
          <a:ext cx="1325715" cy="2566081"/>
        </a:xfrm>
        <a:prstGeom prst="rect">
          <a:avLst/>
        </a:prstGeom>
      </xdr:spPr>
    </xdr:pic>
    <xdr:clientData/>
  </xdr:twoCellAnchor>
  <xdr:twoCellAnchor editAs="oneCell">
    <xdr:from>
      <xdr:col>3</xdr:col>
      <xdr:colOff>104230</xdr:colOff>
      <xdr:row>6</xdr:row>
      <xdr:rowOff>133350</xdr:rowOff>
    </xdr:from>
    <xdr:to>
      <xdr:col>3</xdr:col>
      <xdr:colOff>1787469</xdr:colOff>
      <xdr:row>16</xdr:row>
      <xdr:rowOff>154305</xdr:rowOff>
    </xdr:to>
    <xdr:pic>
      <xdr:nvPicPr>
        <xdr:cNvPr id="14" name="Picture 13">
          <a:extLst>
            <a:ext uri="{FF2B5EF4-FFF2-40B4-BE49-F238E27FC236}">
              <a16:creationId xmlns:a16="http://schemas.microsoft.com/office/drawing/2014/main" id="{ED176756-034A-0685-8A4E-8E27F08C5F5D}"/>
            </a:ext>
          </a:extLst>
        </xdr:cNvPr>
        <xdr:cNvPicPr>
          <a:picLocks noChangeAspect="1"/>
        </xdr:cNvPicPr>
      </xdr:nvPicPr>
      <xdr:blipFill rotWithShape="1">
        <a:blip xmlns:r="http://schemas.openxmlformats.org/officeDocument/2006/relationships" r:embed="rId7">
          <a:alphaModFix amt="20000"/>
          <a:extLst>
            <a:ext uri="{28A0092B-C50C-407E-A947-70E740481C1C}">
              <a14:useLocalDpi xmlns:a14="http://schemas.microsoft.com/office/drawing/2010/main" val="0"/>
            </a:ext>
          </a:extLst>
        </a:blip>
        <a:srcRect l="16214" r="17362"/>
        <a:stretch/>
      </xdr:blipFill>
      <xdr:spPr>
        <a:xfrm>
          <a:off x="3990430" y="1390650"/>
          <a:ext cx="1683239" cy="2543175"/>
        </a:xfrm>
        <a:prstGeom prst="rect">
          <a:avLst/>
        </a:prstGeom>
      </xdr:spPr>
    </xdr:pic>
    <xdr:clientData/>
  </xdr:twoCellAnchor>
  <xdr:twoCellAnchor editAs="oneCell">
    <xdr:from>
      <xdr:col>1</xdr:col>
      <xdr:colOff>0</xdr:colOff>
      <xdr:row>13</xdr:row>
      <xdr:rowOff>0</xdr:rowOff>
    </xdr:from>
    <xdr:to>
      <xdr:col>2</xdr:col>
      <xdr:colOff>210265</xdr:colOff>
      <xdr:row>18</xdr:row>
      <xdr:rowOff>122262</xdr:rowOff>
    </xdr:to>
    <xdr:pic>
      <xdr:nvPicPr>
        <xdr:cNvPr id="15" name="Picture 14">
          <a:extLst>
            <a:ext uri="{FF2B5EF4-FFF2-40B4-BE49-F238E27FC236}">
              <a16:creationId xmlns:a16="http://schemas.microsoft.com/office/drawing/2014/main" id="{37A04170-8101-BEE9-D64A-3EC719E6FB1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7650" y="3048000"/>
          <a:ext cx="1286590" cy="1274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3590925</xdr:colOff>
      <xdr:row>1</xdr:row>
      <xdr:rowOff>38100</xdr:rowOff>
    </xdr:from>
    <xdr:to>
      <xdr:col>2</xdr:col>
      <xdr:colOff>405970</xdr:colOff>
      <xdr:row>5</xdr:row>
      <xdr:rowOff>20921</xdr:rowOff>
    </xdr:to>
    <xdr:grpSp>
      <xdr:nvGrpSpPr>
        <xdr:cNvPr id="2" name="Group 1">
          <a:extLst>
            <a:ext uri="{FF2B5EF4-FFF2-40B4-BE49-F238E27FC236}">
              <a16:creationId xmlns:a16="http://schemas.microsoft.com/office/drawing/2014/main" id="{35AB5431-AA39-49BB-BBE3-EBE582F70DA6}"/>
            </a:ext>
          </a:extLst>
        </xdr:cNvPr>
        <xdr:cNvGrpSpPr/>
      </xdr:nvGrpSpPr>
      <xdr:grpSpPr>
        <a:xfrm>
          <a:off x="3840480" y="247650"/>
          <a:ext cx="4324555" cy="817211"/>
          <a:chOff x="4100627" y="2995295"/>
          <a:chExt cx="4297885" cy="819116"/>
        </a:xfrm>
      </xdr:grpSpPr>
      <xdr:pic>
        <xdr:nvPicPr>
          <xdr:cNvPr id="3" name="Picture 2">
            <a:extLst>
              <a:ext uri="{FF2B5EF4-FFF2-40B4-BE49-F238E27FC236}">
                <a16:creationId xmlns:a16="http://schemas.microsoft.com/office/drawing/2014/main" id="{74C4480F-EC08-BFFD-505F-7BD085B10D4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5117374" y="2995295"/>
            <a:ext cx="947673" cy="361262"/>
          </a:xfrm>
          <a:prstGeom prst="rect">
            <a:avLst/>
          </a:prstGeom>
        </xdr:spPr>
      </xdr:pic>
      <xdr:pic>
        <xdr:nvPicPr>
          <xdr:cNvPr id="8" name="Picture 7" descr="Graphical user interface, text&#10;&#10;Description automatically generated">
            <a:extLst>
              <a:ext uri="{FF2B5EF4-FFF2-40B4-BE49-F238E27FC236}">
                <a16:creationId xmlns:a16="http://schemas.microsoft.com/office/drawing/2014/main" id="{6524DF95-23DF-1804-E9DD-6A08CC95DB57}"/>
              </a:ext>
            </a:extLst>
          </xdr:cNvPr>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37340"/>
          <a:stretch/>
        </xdr:blipFill>
        <xdr:spPr bwMode="auto">
          <a:xfrm>
            <a:off x="6065047" y="2995295"/>
            <a:ext cx="2333465" cy="819116"/>
          </a:xfrm>
          <a:prstGeom prst="rect">
            <a:avLst/>
          </a:prstGeom>
          <a:noFill/>
          <a:ln>
            <a:noFill/>
          </a:ln>
        </xdr:spPr>
      </xdr:pic>
      <xdr:pic>
        <xdr:nvPicPr>
          <xdr:cNvPr id="9" name="Picture 8">
            <a:extLst>
              <a:ext uri="{FF2B5EF4-FFF2-40B4-BE49-F238E27FC236}">
                <a16:creationId xmlns:a16="http://schemas.microsoft.com/office/drawing/2014/main" id="{A83AE1FE-2333-E4E8-FB7D-51BB6A66D48F}"/>
              </a:ext>
            </a:extLst>
          </xdr:cNvPr>
          <xdr:cNvPicPr>
            <a:picLocks noChangeAspect="1"/>
          </xdr:cNvPicPr>
        </xdr:nvPicPr>
        <xdr:blipFill>
          <a:blip xmlns:r="http://schemas.openxmlformats.org/officeDocument/2006/relationships" r:embed="rId5"/>
          <a:stretch>
            <a:fillRect/>
          </a:stretch>
        </xdr:blipFill>
        <xdr:spPr>
          <a:xfrm>
            <a:off x="4100627" y="2995295"/>
            <a:ext cx="1016748" cy="678185"/>
          </a:xfrm>
          <a:prstGeom prst="rect">
            <a:avLst/>
          </a:prstGeom>
        </xdr:spPr>
      </xdr:pic>
    </xdr:grpSp>
    <xdr:clientData/>
  </xdr:twoCellAnchor>
  <xdr:twoCellAnchor editAs="oneCell">
    <xdr:from>
      <xdr:col>1</xdr:col>
      <xdr:colOff>6477097</xdr:colOff>
      <xdr:row>6</xdr:row>
      <xdr:rowOff>150442</xdr:rowOff>
    </xdr:from>
    <xdr:to>
      <xdr:col>2</xdr:col>
      <xdr:colOff>306637</xdr:colOff>
      <xdr:row>17</xdr:row>
      <xdr:rowOff>57143</xdr:rowOff>
    </xdr:to>
    <xdr:pic>
      <xdr:nvPicPr>
        <xdr:cNvPr id="4" name="Picture 3">
          <a:extLst>
            <a:ext uri="{FF2B5EF4-FFF2-40B4-BE49-F238E27FC236}">
              <a16:creationId xmlns:a16="http://schemas.microsoft.com/office/drawing/2014/main" id="{9C3F7C4F-B83B-4084-803B-E020A0403ED7}"/>
            </a:ext>
          </a:extLst>
        </xdr:cNvPr>
        <xdr:cNvPicPr>
          <a:picLocks noChangeAspect="1"/>
        </xdr:cNvPicPr>
      </xdr:nvPicPr>
      <xdr:blipFill rotWithShape="1">
        <a:blip xmlns:r="http://schemas.openxmlformats.org/officeDocument/2006/relationships" r:embed="rId6" cstate="print">
          <a:alphaModFix amt="20000"/>
          <a:extLst>
            <a:ext uri="{28A0092B-C50C-407E-A947-70E740481C1C}">
              <a14:useLocalDpi xmlns:a14="http://schemas.microsoft.com/office/drawing/2010/main" val="0"/>
            </a:ext>
          </a:extLst>
        </a:blip>
        <a:srcRect l="37226" t="33615" r="34809" b="24807"/>
        <a:stretch/>
      </xdr:blipFill>
      <xdr:spPr>
        <a:xfrm>
          <a:off x="6724747" y="1407742"/>
          <a:ext cx="1344765" cy="2543221"/>
        </a:xfrm>
        <a:prstGeom prst="rect">
          <a:avLst/>
        </a:prstGeom>
      </xdr:spPr>
    </xdr:pic>
    <xdr:clientData/>
  </xdr:twoCellAnchor>
  <xdr:twoCellAnchor editAs="oneCell">
    <xdr:from>
      <xdr:col>1</xdr:col>
      <xdr:colOff>3676105</xdr:colOff>
      <xdr:row>6</xdr:row>
      <xdr:rowOff>140970</xdr:rowOff>
    </xdr:from>
    <xdr:to>
      <xdr:col>1</xdr:col>
      <xdr:colOff>5351724</xdr:colOff>
      <xdr:row>17</xdr:row>
      <xdr:rowOff>76200</xdr:rowOff>
    </xdr:to>
    <xdr:pic>
      <xdr:nvPicPr>
        <xdr:cNvPr id="5" name="Picture 4">
          <a:extLst>
            <a:ext uri="{FF2B5EF4-FFF2-40B4-BE49-F238E27FC236}">
              <a16:creationId xmlns:a16="http://schemas.microsoft.com/office/drawing/2014/main" id="{EADA3B2B-766D-4FFC-8AA9-A9B0C8D74FE1}"/>
            </a:ext>
          </a:extLst>
        </xdr:cNvPr>
        <xdr:cNvPicPr>
          <a:picLocks noChangeAspect="1"/>
        </xdr:cNvPicPr>
      </xdr:nvPicPr>
      <xdr:blipFill rotWithShape="1">
        <a:blip xmlns:r="http://schemas.openxmlformats.org/officeDocument/2006/relationships" r:embed="rId7">
          <a:alphaModFix amt="20000"/>
          <a:extLst>
            <a:ext uri="{28A0092B-C50C-407E-A947-70E740481C1C}">
              <a14:useLocalDpi xmlns:a14="http://schemas.microsoft.com/office/drawing/2010/main" val="0"/>
            </a:ext>
          </a:extLst>
        </a:blip>
        <a:srcRect l="16214" r="17362"/>
        <a:stretch/>
      </xdr:blipFill>
      <xdr:spPr>
        <a:xfrm>
          <a:off x="3923755" y="1398270"/>
          <a:ext cx="1675619" cy="2560320"/>
        </a:xfrm>
        <a:prstGeom prst="rect">
          <a:avLst/>
        </a:prstGeom>
      </xdr:spPr>
    </xdr:pic>
    <xdr:clientData/>
  </xdr:twoCellAnchor>
  <xdr:twoCellAnchor editAs="oneCell">
    <xdr:from>
      <xdr:col>0</xdr:col>
      <xdr:colOff>186690</xdr:colOff>
      <xdr:row>8</xdr:row>
      <xdr:rowOff>0</xdr:rowOff>
    </xdr:from>
    <xdr:to>
      <xdr:col>1</xdr:col>
      <xdr:colOff>1235155</xdr:colOff>
      <xdr:row>14</xdr:row>
      <xdr:rowOff>15582</xdr:rowOff>
    </xdr:to>
    <xdr:pic>
      <xdr:nvPicPr>
        <xdr:cNvPr id="6" name="Picture 5">
          <a:extLst>
            <a:ext uri="{FF2B5EF4-FFF2-40B4-BE49-F238E27FC236}">
              <a16:creationId xmlns:a16="http://schemas.microsoft.com/office/drawing/2014/main" id="{986A7A12-BC4E-4397-81B0-A0B6D844C1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6690" y="1676400"/>
          <a:ext cx="1290400" cy="1272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63499</xdr:colOff>
      <xdr:row>24</xdr:row>
      <xdr:rowOff>12882</xdr:rowOff>
    </xdr:from>
    <xdr:to>
      <xdr:col>26</xdr:col>
      <xdr:colOff>342404</xdr:colOff>
      <xdr:row>48</xdr:row>
      <xdr:rowOff>244494</xdr:rowOff>
    </xdr:to>
    <xdr:pic>
      <xdr:nvPicPr>
        <xdr:cNvPr id="2" name="Picture 1">
          <a:extLst>
            <a:ext uri="{FF2B5EF4-FFF2-40B4-BE49-F238E27FC236}">
              <a16:creationId xmlns:a16="http://schemas.microsoft.com/office/drawing/2014/main" id="{E79B3083-9C36-47C5-BF28-87CF20C42ED6}"/>
            </a:ext>
          </a:extLst>
        </xdr:cNvPr>
        <xdr:cNvPicPr>
          <a:picLocks noChangeAspect="1"/>
        </xdr:cNvPicPr>
      </xdr:nvPicPr>
      <xdr:blipFill>
        <a:blip xmlns:r="http://schemas.openxmlformats.org/officeDocument/2006/relationships" r:embed="rId1"/>
        <a:stretch>
          <a:fillRect/>
        </a:stretch>
      </xdr:blipFill>
      <xdr:spPr>
        <a:xfrm>
          <a:off x="15766142" y="5061132"/>
          <a:ext cx="7626762" cy="62285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sdecarbguidance@es.catapult.org.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sdecarbguidance@es.catapult.org.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s://www.ons.gov.uk/economy/inflationandpriceindices/timeseries/l55o/mm2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3987-A298-403D-A574-A29A214BA535}">
  <sheetPr codeName="Sheet11">
    <tabColor theme="7"/>
    <pageSetUpPr autoPageBreaks="0"/>
  </sheetPr>
  <dimension ref="A1:O41"/>
  <sheetViews>
    <sheetView showGridLines="0" topLeftCell="A10" workbookViewId="0">
      <selection activeCell="B12" sqref="B12"/>
    </sheetView>
  </sheetViews>
  <sheetFormatPr defaultColWidth="0" defaultRowHeight="16.8" zeroHeight="1" x14ac:dyDescent="0.4"/>
  <cols>
    <col min="1" max="1" width="3.6640625" style="218" customWidth="1"/>
    <col min="2" max="2" width="15.6640625" style="218" customWidth="1"/>
    <col min="3" max="3" width="37.33203125" style="218" customWidth="1"/>
    <col min="4" max="4" width="56.5546875" style="218" customWidth="1"/>
    <col min="5" max="5" width="8.6640625" style="218" customWidth="1"/>
    <col min="6" max="15" width="0" style="218" hidden="1" customWidth="1"/>
    <col min="16" max="16384" width="8.6640625" style="218" hidden="1"/>
  </cols>
  <sheetData>
    <row r="1" spans="1:5" x14ac:dyDescent="0.4"/>
    <row r="2" spans="1:5" x14ac:dyDescent="0.4"/>
    <row r="3" spans="1:5" x14ac:dyDescent="0.4"/>
    <row r="4" spans="1:5" x14ac:dyDescent="0.4"/>
    <row r="5" spans="1:5" x14ac:dyDescent="0.4"/>
    <row r="6" spans="1:5" x14ac:dyDescent="0.4"/>
    <row r="7" spans="1:5" x14ac:dyDescent="0.4"/>
    <row r="8" spans="1:5" x14ac:dyDescent="0.4"/>
    <row r="9" spans="1:5" x14ac:dyDescent="0.4"/>
    <row r="10" spans="1:5" x14ac:dyDescent="0.4"/>
    <row r="11" spans="1:5" ht="29.4" x14ac:dyDescent="0.65">
      <c r="B11" s="234" t="s">
        <v>265</v>
      </c>
    </row>
    <row r="12" spans="1:5" ht="29.4" x14ac:dyDescent="0.65">
      <c r="B12" s="252" t="s">
        <v>264</v>
      </c>
    </row>
    <row r="13" spans="1:5" x14ac:dyDescent="0.4"/>
    <row r="14" spans="1:5" s="219" customFormat="1" ht="24.6" customHeight="1" x14ac:dyDescent="0.4">
      <c r="A14" s="218"/>
      <c r="B14" s="237"/>
      <c r="C14" s="238"/>
      <c r="D14" s="238"/>
      <c r="E14" s="218"/>
    </row>
    <row r="15" spans="1:5" x14ac:dyDescent="0.4">
      <c r="A15" s="220"/>
      <c r="B15" s="220"/>
      <c r="C15" s="220"/>
    </row>
    <row r="16" spans="1:5" s="219" customFormat="1" x14ac:dyDescent="0.4">
      <c r="A16" s="218"/>
      <c r="E16" s="218"/>
    </row>
    <row r="17" spans="1:1" x14ac:dyDescent="0.4"/>
    <row r="18" spans="1:1" x14ac:dyDescent="0.4"/>
    <row r="19" spans="1:1" x14ac:dyDescent="0.4"/>
    <row r="20" spans="1:1" x14ac:dyDescent="0.4"/>
    <row r="21" spans="1:1" x14ac:dyDescent="0.4"/>
    <row r="22" spans="1:1" x14ac:dyDescent="0.4"/>
    <row r="23" spans="1:1" x14ac:dyDescent="0.4"/>
    <row r="24" spans="1:1" x14ac:dyDescent="0.4"/>
    <row r="25" spans="1:1" x14ac:dyDescent="0.4"/>
    <row r="26" spans="1:1" x14ac:dyDescent="0.4"/>
    <row r="27" spans="1:1" x14ac:dyDescent="0.4"/>
    <row r="28" spans="1:1" x14ac:dyDescent="0.4"/>
    <row r="29" spans="1:1" x14ac:dyDescent="0.4">
      <c r="A29" s="221"/>
    </row>
    <row r="30" spans="1:1" x14ac:dyDescent="0.4">
      <c r="A30" s="221"/>
    </row>
    <row r="31" spans="1:1" x14ac:dyDescent="0.4">
      <c r="A31" s="221"/>
    </row>
    <row r="32" spans="1:1" x14ac:dyDescent="0.4">
      <c r="A32" s="220"/>
    </row>
    <row r="33" spans="1:5" x14ac:dyDescent="0.4"/>
    <row r="34" spans="1:5" x14ac:dyDescent="0.4"/>
    <row r="35" spans="1:5" x14ac:dyDescent="0.4"/>
    <row r="36" spans="1:5" x14ac:dyDescent="0.4"/>
    <row r="37" spans="1:5" x14ac:dyDescent="0.4"/>
    <row r="38" spans="1:5" s="219" customFormat="1" x14ac:dyDescent="0.4">
      <c r="A38" s="218"/>
      <c r="B38" s="219" t="s">
        <v>0</v>
      </c>
      <c r="E38" s="218"/>
    </row>
    <row r="39" spans="1:5" s="219" customFormat="1" x14ac:dyDescent="0.4">
      <c r="A39" s="218"/>
      <c r="B39" s="222" t="s">
        <v>1</v>
      </c>
      <c r="E39" s="218"/>
    </row>
    <row r="40" spans="1:5" s="219" customFormat="1" x14ac:dyDescent="0.4">
      <c r="A40" s="218"/>
      <c r="E40" s="218"/>
    </row>
    <row r="41" spans="1:5" x14ac:dyDescent="0.4"/>
  </sheetData>
  <mergeCells count="1">
    <mergeCell ref="B14:D14"/>
  </mergeCells>
  <hyperlinks>
    <hyperlink ref="B39" r:id="rId1" xr:uid="{93C06633-33F6-49E5-A8C2-AEC80F1C6B73}"/>
  </hyperlinks>
  <pageMargins left="0.7" right="0.7" top="0.75" bottom="0.75" header="0.3" footer="0.3"/>
  <pageSetup orientation="portrait" r:id="rId2"/>
  <headerFooter>
    <oddFooter>&amp;L&amp;1#&amp;"Calibri"&amp;10&amp;K000000 -------------------------------------------------------- This document is marked as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5530-5E4E-4132-BE79-7B4AD1DC1091}">
  <sheetPr codeName="Sheet2">
    <tabColor theme="7"/>
    <pageSetUpPr autoPageBreaks="0"/>
  </sheetPr>
  <dimension ref="A1:E44"/>
  <sheetViews>
    <sheetView showGridLines="0" tabSelected="1" zoomScaleNormal="100" workbookViewId="0">
      <selection activeCell="B16" sqref="B16"/>
    </sheetView>
  </sheetViews>
  <sheetFormatPr defaultColWidth="0" defaultRowHeight="16.8" zeroHeight="1" x14ac:dyDescent="0.4"/>
  <cols>
    <col min="1" max="1" width="3.5546875" style="223" customWidth="1"/>
    <col min="2" max="2" width="109.5546875" style="224" customWidth="1"/>
    <col min="3" max="3" width="8.6640625" style="223" customWidth="1"/>
    <col min="4" max="5" width="0" style="223" hidden="1" customWidth="1"/>
    <col min="6" max="16384" width="8.6640625" style="223" hidden="1"/>
  </cols>
  <sheetData>
    <row r="1" spans="2:2" x14ac:dyDescent="0.4">
      <c r="B1" s="223"/>
    </row>
    <row r="2" spans="2:2" x14ac:dyDescent="0.4">
      <c r="B2" s="223"/>
    </row>
    <row r="3" spans="2:2" x14ac:dyDescent="0.4">
      <c r="B3" s="223"/>
    </row>
    <row r="4" spans="2:2" x14ac:dyDescent="0.4">
      <c r="B4" s="223"/>
    </row>
    <row r="5" spans="2:2" x14ac:dyDescent="0.4">
      <c r="B5" s="223"/>
    </row>
    <row r="6" spans="2:2" x14ac:dyDescent="0.4">
      <c r="B6" s="223"/>
    </row>
    <row r="7" spans="2:2" x14ac:dyDescent="0.4">
      <c r="B7" s="223"/>
    </row>
    <row r="8" spans="2:2" x14ac:dyDescent="0.4">
      <c r="B8" s="223"/>
    </row>
    <row r="9" spans="2:2" x14ac:dyDescent="0.4">
      <c r="B9" s="223"/>
    </row>
    <row r="10" spans="2:2" x14ac:dyDescent="0.4">
      <c r="B10" s="223"/>
    </row>
    <row r="11" spans="2:2" x14ac:dyDescent="0.4">
      <c r="B11" s="223"/>
    </row>
    <row r="12" spans="2:2" x14ac:dyDescent="0.4">
      <c r="B12" s="223"/>
    </row>
    <row r="13" spans="2:2" x14ac:dyDescent="0.4">
      <c r="B13" s="223"/>
    </row>
    <row r="14" spans="2:2" x14ac:dyDescent="0.4">
      <c r="B14" s="223"/>
    </row>
    <row r="15" spans="2:2" s="218" customFormat="1" ht="29.4" x14ac:dyDescent="0.65">
      <c r="B15" s="234" t="s">
        <v>265</v>
      </c>
    </row>
    <row r="16" spans="2:2" s="218" customFormat="1" ht="29.4" x14ac:dyDescent="0.65">
      <c r="B16" s="252" t="s">
        <v>264</v>
      </c>
    </row>
    <row r="17" spans="2:2" x14ac:dyDescent="0.4"/>
    <row r="18" spans="2:2" ht="24.6" x14ac:dyDescent="0.4">
      <c r="B18" s="225" t="s">
        <v>2</v>
      </c>
    </row>
    <row r="19" spans="2:2" ht="84" x14ac:dyDescent="0.4">
      <c r="B19" s="232" t="s">
        <v>3</v>
      </c>
    </row>
    <row r="20" spans="2:2" ht="133.94999999999999" customHeight="1" x14ac:dyDescent="0.4">
      <c r="B20" s="233" t="s">
        <v>261</v>
      </c>
    </row>
    <row r="21" spans="2:2" ht="100.8" x14ac:dyDescent="0.4">
      <c r="B21" s="224" t="s">
        <v>4</v>
      </c>
    </row>
    <row r="22" spans="2:2" ht="19.2" x14ac:dyDescent="0.45">
      <c r="B22" s="254"/>
    </row>
    <row r="23" spans="2:2" ht="19.2" x14ac:dyDescent="0.45">
      <c r="B23" s="253"/>
    </row>
    <row r="24" spans="2:2" ht="24.6" x14ac:dyDescent="0.55000000000000004">
      <c r="B24" s="260" t="s">
        <v>5</v>
      </c>
    </row>
    <row r="25" spans="2:2" ht="33.6" x14ac:dyDescent="0.4">
      <c r="B25" s="224" t="s">
        <v>6</v>
      </c>
    </row>
    <row r="26" spans="2:2" x14ac:dyDescent="0.4">
      <c r="B26" s="224" t="s">
        <v>7</v>
      </c>
    </row>
    <row r="27" spans="2:2" x14ac:dyDescent="0.4">
      <c r="B27" s="226" t="s">
        <v>8</v>
      </c>
    </row>
    <row r="28" spans="2:2" x14ac:dyDescent="0.4">
      <c r="B28" s="227" t="s">
        <v>9</v>
      </c>
    </row>
    <row r="29" spans="2:2" x14ac:dyDescent="0.4">
      <c r="B29" s="228" t="s">
        <v>10</v>
      </c>
    </row>
    <row r="30" spans="2:2" ht="19.2" x14ac:dyDescent="0.45">
      <c r="B30" s="253"/>
    </row>
    <row r="31" spans="2:2" ht="19.2" x14ac:dyDescent="0.4">
      <c r="B31" s="255" t="s">
        <v>11</v>
      </c>
    </row>
    <row r="32" spans="2:2" ht="33.6" x14ac:dyDescent="0.4">
      <c r="B32" s="229" t="s">
        <v>12</v>
      </c>
    </row>
    <row r="33" spans="1:5" ht="126" customHeight="1" x14ac:dyDescent="0.4">
      <c r="B33" s="229" t="s">
        <v>13</v>
      </c>
    </row>
    <row r="34" spans="1:5" ht="111" customHeight="1" x14ac:dyDescent="0.4">
      <c r="B34" s="231" t="s">
        <v>14</v>
      </c>
    </row>
    <row r="35" spans="1:5" ht="33.6" x14ac:dyDescent="0.4">
      <c r="B35" s="235" t="s">
        <v>266</v>
      </c>
    </row>
    <row r="36" spans="1:5" ht="19.2" x14ac:dyDescent="0.4">
      <c r="B36" s="256"/>
    </row>
    <row r="37" spans="1:5" ht="19.2" x14ac:dyDescent="0.4">
      <c r="B37" s="257" t="s">
        <v>15</v>
      </c>
    </row>
    <row r="38" spans="1:5" ht="270.60000000000002" customHeight="1" x14ac:dyDescent="0.4">
      <c r="B38" s="230" t="s">
        <v>268</v>
      </c>
    </row>
    <row r="39" spans="1:5" ht="317.39999999999998" customHeight="1" x14ac:dyDescent="0.4">
      <c r="B39" s="236" t="s">
        <v>267</v>
      </c>
    </row>
    <row r="40" spans="1:5" ht="144" customHeight="1" x14ac:dyDescent="0.4">
      <c r="B40" s="230" t="s">
        <v>16</v>
      </c>
    </row>
    <row r="41" spans="1:5" s="219" customFormat="1" x14ac:dyDescent="0.4">
      <c r="A41" s="218"/>
      <c r="B41" s="219" t="s">
        <v>0</v>
      </c>
      <c r="E41" s="218"/>
    </row>
    <row r="42" spans="1:5" s="219" customFormat="1" x14ac:dyDescent="0.4">
      <c r="A42" s="218"/>
      <c r="B42" s="259" t="s">
        <v>1</v>
      </c>
      <c r="E42" s="218"/>
    </row>
    <row r="43" spans="1:5" ht="12.6" customHeight="1" x14ac:dyDescent="0.4">
      <c r="B43" s="258"/>
    </row>
    <row r="44" spans="1:5" x14ac:dyDescent="0.4"/>
  </sheetData>
  <sheetProtection selectLockedCells="1" selectUnlockedCells="1"/>
  <hyperlinks>
    <hyperlink ref="B42" r:id="rId1" xr:uid="{F8F20E18-01C3-4873-952B-7B19DEBB0647}"/>
  </hyperlinks>
  <pageMargins left="0.7" right="0.7" top="0.75" bottom="0.75" header="0.3" footer="0.3"/>
  <pageSetup paperSize="9" orientation="portrait" r:id="rId2"/>
  <headerFooter>
    <oddFooter>&amp;C© 2021 Energy Systems Catapult Limited&amp;L&amp;1#&amp;"Calibri"&amp;10&amp;K000000 -------------------------------------------------------- This document is marked as confidential</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FDA3-DB69-4D9F-B8A8-947CB29035C4}">
  <sheetPr codeName="Sheet3">
    <pageSetUpPr autoPageBreaks="0"/>
  </sheetPr>
  <dimension ref="A1:AG122"/>
  <sheetViews>
    <sheetView showGridLines="0" zoomScaleNormal="100" workbookViewId="0">
      <selection activeCell="AB22" sqref="AB22:AD22"/>
    </sheetView>
  </sheetViews>
  <sheetFormatPr defaultColWidth="0" defaultRowHeight="14.4" zeroHeight="1" x14ac:dyDescent="0.3"/>
  <cols>
    <col min="1" max="1" width="5.5546875" style="57" customWidth="1"/>
    <col min="2" max="2" width="14.6640625" style="57" customWidth="1"/>
    <col min="3" max="3" width="38.44140625" style="58" customWidth="1"/>
    <col min="4" max="5" width="13.33203125" style="57" customWidth="1"/>
    <col min="6" max="6" width="14.33203125" style="67" customWidth="1"/>
    <col min="7" max="7" width="13.33203125" style="68" customWidth="1"/>
    <col min="8" max="8" width="29.44140625" style="58" customWidth="1"/>
    <col min="9" max="9" width="14.33203125" style="58" customWidth="1"/>
    <col min="10" max="11" width="15" style="57" customWidth="1"/>
    <col min="12" max="12" width="19.44140625" style="57" customWidth="1"/>
    <col min="13" max="13" width="13.6640625" style="57" customWidth="1"/>
    <col min="14" max="14" width="15" style="57" customWidth="1"/>
    <col min="15" max="15" width="16.44140625" style="57" customWidth="1"/>
    <col min="16" max="16" width="14.33203125" style="57" customWidth="1"/>
    <col min="17" max="18" width="13.6640625" style="57" customWidth="1"/>
    <col min="19" max="20" width="16.33203125" style="57" customWidth="1"/>
    <col min="21" max="24" width="16.44140625" style="57" customWidth="1"/>
    <col min="25" max="25" width="13.6640625" style="57" customWidth="1"/>
    <col min="26" max="26" width="13" style="57" bestFit="1" customWidth="1"/>
    <col min="27" max="27" width="13" style="57" customWidth="1"/>
    <col min="28" max="28" width="13.6640625" style="57" customWidth="1"/>
    <col min="29" max="29" width="13" style="57" bestFit="1" customWidth="1"/>
    <col min="30" max="30" width="13" style="57" customWidth="1"/>
    <col min="31" max="31" width="8.6640625" style="57" customWidth="1"/>
    <col min="32" max="33" width="0" style="57" hidden="1" customWidth="1"/>
    <col min="34" max="16384" width="8.6640625" style="57" hidden="1"/>
  </cols>
  <sheetData>
    <row r="1" spans="2:30" x14ac:dyDescent="0.3"/>
    <row r="2" spans="2:30" ht="18" x14ac:dyDescent="0.3">
      <c r="B2" s="59" t="s">
        <v>17</v>
      </c>
    </row>
    <row r="3" spans="2:30" x14ac:dyDescent="0.3"/>
    <row r="4" spans="2:30" x14ac:dyDescent="0.3">
      <c r="C4" s="69"/>
    </row>
    <row r="5" spans="2:30" x14ac:dyDescent="0.3">
      <c r="B5" s="244" t="s">
        <v>18</v>
      </c>
      <c r="C5" s="60" t="s">
        <v>19</v>
      </c>
      <c r="D5" s="60"/>
    </row>
    <row r="6" spans="2:30" x14ac:dyDescent="0.3">
      <c r="B6" s="244"/>
      <c r="C6" s="70" t="s">
        <v>20</v>
      </c>
      <c r="D6" s="32"/>
      <c r="E6" s="71"/>
      <c r="J6" s="69"/>
      <c r="K6" s="69"/>
      <c r="P6" s="72"/>
      <c r="Q6" s="72"/>
      <c r="R6" s="72"/>
      <c r="S6" s="72"/>
      <c r="T6" s="72"/>
      <c r="U6" s="72"/>
      <c r="V6" s="72"/>
      <c r="W6" s="72"/>
      <c r="X6" s="72"/>
      <c r="Y6" s="72"/>
      <c r="AB6" s="72"/>
      <c r="AC6" s="72"/>
      <c r="AD6" s="72"/>
    </row>
    <row r="7" spans="2:30" x14ac:dyDescent="0.3">
      <c r="B7" s="244"/>
      <c r="C7" s="73" t="s">
        <v>21</v>
      </c>
      <c r="D7" s="49">
        <v>1</v>
      </c>
      <c r="E7" s="74" t="s">
        <v>22</v>
      </c>
      <c r="J7" s="58"/>
      <c r="K7" s="58"/>
      <c r="P7" s="72"/>
      <c r="Q7" s="72"/>
      <c r="R7" s="72"/>
      <c r="S7" s="72"/>
      <c r="T7" s="72"/>
      <c r="U7" s="72"/>
      <c r="V7" s="72"/>
      <c r="W7" s="72"/>
      <c r="X7" s="72"/>
      <c r="Y7" s="72"/>
      <c r="AB7" s="72"/>
      <c r="AC7" s="72"/>
      <c r="AD7" s="72"/>
    </row>
    <row r="8" spans="2:30" x14ac:dyDescent="0.3">
      <c r="B8" s="244"/>
      <c r="C8" s="75" t="s">
        <v>23</v>
      </c>
      <c r="D8" s="50">
        <v>1</v>
      </c>
      <c r="E8" s="74" t="s">
        <v>22</v>
      </c>
      <c r="J8" s="58"/>
      <c r="K8" s="58"/>
      <c r="N8" s="72"/>
      <c r="O8" s="72"/>
      <c r="P8" s="72"/>
      <c r="Q8" s="72"/>
      <c r="R8" s="72"/>
      <c r="S8" s="72"/>
      <c r="T8" s="72"/>
      <c r="U8" s="72"/>
      <c r="V8" s="72"/>
      <c r="W8" s="72"/>
      <c r="X8" s="72"/>
      <c r="Y8" s="72"/>
      <c r="AB8" s="72"/>
      <c r="AC8" s="72"/>
      <c r="AD8" s="72"/>
    </row>
    <row r="9" spans="2:30" x14ac:dyDescent="0.3">
      <c r="J9" s="58"/>
      <c r="K9" s="58"/>
      <c r="N9" s="72"/>
      <c r="O9" s="72"/>
      <c r="P9" s="72"/>
      <c r="Q9" s="72"/>
      <c r="R9" s="72"/>
      <c r="S9" s="72"/>
      <c r="T9" s="72"/>
      <c r="U9" s="72"/>
      <c r="V9" s="72"/>
      <c r="W9" s="72"/>
      <c r="X9" s="72"/>
      <c r="Y9" s="72"/>
      <c r="Z9" s="72"/>
      <c r="AA9" s="72"/>
      <c r="AB9" s="72"/>
      <c r="AC9" s="72"/>
      <c r="AD9" s="72"/>
    </row>
    <row r="10" spans="2:30" x14ac:dyDescent="0.3">
      <c r="B10" s="244" t="s">
        <v>24</v>
      </c>
      <c r="C10" s="60" t="s">
        <v>25</v>
      </c>
      <c r="D10" s="183" t="s">
        <v>262</v>
      </c>
      <c r="J10" s="58"/>
      <c r="K10" s="58"/>
      <c r="N10" s="72"/>
      <c r="O10" s="72"/>
      <c r="P10" s="72"/>
      <c r="Q10" s="72"/>
      <c r="R10" s="72"/>
      <c r="S10" s="72"/>
      <c r="T10" s="72"/>
      <c r="U10" s="72"/>
      <c r="V10" s="72"/>
      <c r="W10" s="72"/>
      <c r="X10" s="72"/>
      <c r="Y10" s="72"/>
      <c r="Z10" s="72"/>
      <c r="AA10" s="72"/>
      <c r="AB10" s="72"/>
      <c r="AC10" s="72"/>
      <c r="AD10" s="72"/>
    </row>
    <row r="11" spans="2:30" x14ac:dyDescent="0.3">
      <c r="B11" s="244"/>
      <c r="C11" s="190" t="s">
        <v>26</v>
      </c>
      <c r="D11" s="188">
        <v>0.03</v>
      </c>
      <c r="E11" s="184" t="s">
        <v>27</v>
      </c>
      <c r="F11" s="185" t="s">
        <v>28</v>
      </c>
      <c r="J11" s="58"/>
      <c r="K11" s="58"/>
      <c r="N11" s="72"/>
      <c r="O11" s="72"/>
      <c r="P11" s="72"/>
      <c r="Q11" s="72"/>
      <c r="R11" s="72"/>
      <c r="S11" s="72"/>
      <c r="T11" s="72"/>
      <c r="U11" s="72"/>
      <c r="V11" s="72"/>
      <c r="W11" s="72"/>
      <c r="X11" s="72"/>
      <c r="Y11" s="72"/>
      <c r="Z11" s="72"/>
      <c r="AA11" s="72"/>
      <c r="AB11" s="72"/>
      <c r="AC11" s="72"/>
      <c r="AD11" s="72"/>
    </row>
    <row r="12" spans="2:30" x14ac:dyDescent="0.3">
      <c r="B12" s="244"/>
      <c r="C12" s="190" t="s">
        <v>29</v>
      </c>
      <c r="D12" s="189"/>
      <c r="E12" s="186"/>
      <c r="F12" s="185" t="s">
        <v>30</v>
      </c>
      <c r="J12" s="58"/>
      <c r="K12" s="58"/>
      <c r="N12" s="72"/>
      <c r="O12" s="72"/>
      <c r="P12" s="72"/>
      <c r="Q12" s="72"/>
      <c r="R12" s="72"/>
      <c r="S12" s="72"/>
      <c r="T12" s="72"/>
      <c r="U12" s="72"/>
      <c r="V12" s="72"/>
      <c r="W12" s="72"/>
      <c r="X12" s="72"/>
      <c r="Y12" s="72"/>
      <c r="Z12" s="72"/>
      <c r="AA12" s="72"/>
      <c r="AB12" s="72"/>
      <c r="AC12" s="72"/>
      <c r="AD12" s="72"/>
    </row>
    <row r="13" spans="2:30" x14ac:dyDescent="0.3">
      <c r="B13" s="244"/>
      <c r="C13" s="191" t="s">
        <v>31</v>
      </c>
      <c r="D13" s="193"/>
      <c r="E13" s="187"/>
      <c r="F13" s="185" t="s">
        <v>30</v>
      </c>
      <c r="J13" s="58"/>
      <c r="K13" s="58"/>
      <c r="N13" s="72"/>
      <c r="O13" s="72"/>
      <c r="P13" s="72"/>
      <c r="Q13" s="72"/>
      <c r="R13" s="72"/>
      <c r="S13" s="72"/>
      <c r="T13" s="72"/>
      <c r="U13" s="72"/>
      <c r="V13" s="72"/>
      <c r="W13" s="72"/>
      <c r="X13" s="72"/>
      <c r="Y13" s="72"/>
      <c r="Z13" s="72"/>
      <c r="AA13" s="72"/>
      <c r="AB13" s="72"/>
      <c r="AC13" s="72"/>
      <c r="AD13" s="72"/>
    </row>
    <row r="14" spans="2:30" x14ac:dyDescent="0.3">
      <c r="B14" s="244"/>
      <c r="C14" s="75" t="s">
        <v>32</v>
      </c>
      <c r="D14" s="192">
        <v>0.11</v>
      </c>
      <c r="J14" s="58"/>
      <c r="K14" s="58"/>
      <c r="N14" s="72"/>
      <c r="O14" s="72"/>
      <c r="P14" s="72"/>
      <c r="Q14" s="72"/>
      <c r="R14" s="72"/>
      <c r="S14" s="72"/>
      <c r="T14" s="72"/>
      <c r="U14" s="72"/>
      <c r="V14" s="72"/>
      <c r="W14" s="72"/>
      <c r="X14" s="72"/>
      <c r="Y14" s="72"/>
      <c r="Z14" s="72"/>
      <c r="AA14" s="72"/>
      <c r="AB14" s="72"/>
      <c r="AC14" s="72"/>
      <c r="AD14" s="72"/>
    </row>
    <row r="15" spans="2:30" x14ac:dyDescent="0.3">
      <c r="B15" s="144"/>
      <c r="C15" s="75" t="s">
        <v>33</v>
      </c>
      <c r="D15" s="145"/>
      <c r="E15" s="74" t="s">
        <v>34</v>
      </c>
      <c r="J15" s="58"/>
      <c r="K15" s="58"/>
      <c r="N15" s="72"/>
      <c r="O15" s="72"/>
      <c r="P15" s="72"/>
      <c r="Q15" s="72"/>
      <c r="R15" s="72"/>
      <c r="S15" s="72"/>
      <c r="T15" s="72"/>
      <c r="U15" s="72"/>
      <c r="V15" s="72"/>
      <c r="W15" s="72"/>
      <c r="X15" s="72"/>
      <c r="Y15" s="72"/>
      <c r="Z15" s="72"/>
      <c r="AA15" s="72"/>
      <c r="AB15" s="72"/>
      <c r="AC15" s="72"/>
      <c r="AD15" s="72"/>
    </row>
    <row r="16" spans="2:30" x14ac:dyDescent="0.3">
      <c r="J16" s="58"/>
      <c r="K16" s="58"/>
      <c r="N16" s="72"/>
      <c r="O16" s="72"/>
      <c r="P16" s="72"/>
      <c r="Q16" s="72"/>
      <c r="R16" s="72"/>
      <c r="S16" s="72"/>
      <c r="T16" s="72"/>
      <c r="U16" s="72"/>
      <c r="V16" s="72"/>
      <c r="W16" s="72"/>
      <c r="X16" s="72"/>
      <c r="Y16" s="72"/>
      <c r="Z16" s="72"/>
      <c r="AA16" s="72"/>
      <c r="AB16" s="72"/>
      <c r="AC16" s="72"/>
      <c r="AD16" s="72"/>
    </row>
    <row r="17" spans="2:30" x14ac:dyDescent="0.3">
      <c r="B17" s="244" t="s">
        <v>35</v>
      </c>
      <c r="C17" s="60" t="s">
        <v>36</v>
      </c>
      <c r="D17" s="183" t="s">
        <v>74</v>
      </c>
      <c r="E17" s="74" t="s">
        <v>263</v>
      </c>
      <c r="J17" s="58"/>
      <c r="K17" s="58"/>
      <c r="N17" s="72"/>
      <c r="O17" s="72"/>
      <c r="P17" s="72"/>
      <c r="Q17" s="72"/>
      <c r="R17" s="72"/>
      <c r="S17" s="72"/>
      <c r="T17" s="72"/>
      <c r="U17" s="72"/>
      <c r="V17" s="72"/>
      <c r="W17" s="72"/>
      <c r="X17" s="72"/>
      <c r="Y17" s="72"/>
      <c r="Z17" s="72"/>
      <c r="AA17" s="72"/>
      <c r="AB17" s="72"/>
      <c r="AC17" s="72"/>
      <c r="AD17" s="72"/>
    </row>
    <row r="18" spans="2:30" x14ac:dyDescent="0.3">
      <c r="B18" s="244"/>
      <c r="C18" s="70" t="s">
        <v>37</v>
      </c>
      <c r="D18" s="51"/>
      <c r="E18" s="67"/>
      <c r="H18" s="76"/>
      <c r="J18" s="58"/>
      <c r="K18" s="58"/>
      <c r="N18" s="72"/>
      <c r="O18" s="72"/>
      <c r="P18" s="72"/>
      <c r="Q18" s="72"/>
      <c r="R18" s="72"/>
      <c r="S18" s="72"/>
      <c r="T18" s="72"/>
      <c r="U18" s="72"/>
      <c r="V18" s="72"/>
      <c r="W18" s="72"/>
      <c r="X18" s="72"/>
      <c r="Y18" s="72"/>
      <c r="Z18" s="72"/>
      <c r="AA18" s="72"/>
      <c r="AB18" s="72"/>
      <c r="AC18" s="72"/>
      <c r="AD18" s="72"/>
    </row>
    <row r="19" spans="2:30" x14ac:dyDescent="0.3">
      <c r="B19" s="244"/>
      <c r="C19" s="73" t="s">
        <v>38</v>
      </c>
      <c r="D19" s="52"/>
      <c r="J19" s="58"/>
      <c r="K19" s="58"/>
      <c r="N19" s="72"/>
      <c r="O19" s="72"/>
      <c r="P19" s="72"/>
      <c r="Q19" s="72"/>
      <c r="R19" s="72"/>
      <c r="S19" s="72"/>
      <c r="T19" s="72"/>
      <c r="U19" s="72"/>
      <c r="V19" s="72"/>
      <c r="W19" s="72"/>
      <c r="X19" s="72"/>
      <c r="Y19" s="72"/>
      <c r="Z19" s="72"/>
      <c r="AA19" s="72"/>
      <c r="AB19" s="72"/>
      <c r="AC19" s="72"/>
      <c r="AD19" s="72"/>
    </row>
    <row r="20" spans="2:30" x14ac:dyDescent="0.3">
      <c r="B20" s="244"/>
      <c r="C20" s="75" t="s">
        <v>39</v>
      </c>
      <c r="D20" s="53"/>
      <c r="J20" s="58"/>
      <c r="K20" s="58"/>
      <c r="N20" s="72"/>
      <c r="O20" s="72"/>
      <c r="P20" s="72"/>
      <c r="Q20" s="72"/>
      <c r="R20" s="72"/>
      <c r="S20" s="72"/>
      <c r="T20" s="72"/>
      <c r="U20" s="72"/>
      <c r="V20" s="72"/>
      <c r="W20" s="72"/>
      <c r="X20" s="72"/>
      <c r="Y20" s="72"/>
      <c r="Z20" s="72"/>
      <c r="AA20" s="72"/>
      <c r="AB20" s="72"/>
      <c r="AC20" s="72"/>
      <c r="AD20" s="72"/>
    </row>
    <row r="21" spans="2:30" x14ac:dyDescent="0.3">
      <c r="F21" s="57"/>
      <c r="J21" s="58"/>
      <c r="K21" s="58"/>
      <c r="N21" s="72"/>
      <c r="O21" s="72"/>
      <c r="P21" s="72"/>
      <c r="Q21" s="72"/>
      <c r="R21" s="72"/>
      <c r="S21" s="72"/>
      <c r="T21" s="72"/>
      <c r="U21" s="72"/>
      <c r="V21" s="72"/>
      <c r="W21" s="72"/>
      <c r="X21" s="72"/>
      <c r="Y21" s="72"/>
      <c r="Z21" s="72"/>
      <c r="AA21" s="72"/>
      <c r="AB21" s="72"/>
      <c r="AC21" s="72"/>
      <c r="AD21" s="72"/>
    </row>
    <row r="22" spans="2:30" s="83" customFormat="1" ht="29.25" customHeight="1" x14ac:dyDescent="0.4">
      <c r="B22" s="77" t="s">
        <v>40</v>
      </c>
      <c r="C22" s="78"/>
      <c r="D22" s="79"/>
      <c r="E22" s="79"/>
      <c r="F22" s="79"/>
      <c r="G22" s="80"/>
      <c r="H22" s="78"/>
      <c r="I22" s="78"/>
      <c r="J22" s="79"/>
      <c r="K22" s="79"/>
      <c r="L22" s="79"/>
      <c r="M22" s="79"/>
      <c r="N22" s="79"/>
      <c r="O22" s="79"/>
      <c r="P22" s="79"/>
      <c r="Q22" s="79"/>
      <c r="R22" s="79"/>
      <c r="S22" s="242" t="s">
        <v>41</v>
      </c>
      <c r="T22" s="243"/>
      <c r="U22" s="81"/>
      <c r="V22" s="81"/>
      <c r="W22" s="81"/>
      <c r="X22" s="82"/>
      <c r="Y22" s="245" t="s">
        <v>42</v>
      </c>
      <c r="Z22" s="246"/>
      <c r="AA22" s="247"/>
      <c r="AB22" s="239" t="s">
        <v>43</v>
      </c>
      <c r="AC22" s="240"/>
      <c r="AD22" s="241"/>
    </row>
    <row r="23" spans="2:30" s="87" customFormat="1" ht="43.2" x14ac:dyDescent="0.3">
      <c r="B23" s="84" t="s">
        <v>44</v>
      </c>
      <c r="C23" s="85" t="s">
        <v>45</v>
      </c>
      <c r="D23" s="86" t="s">
        <v>46</v>
      </c>
      <c r="E23" s="86" t="s">
        <v>47</v>
      </c>
      <c r="F23" s="85" t="s">
        <v>48</v>
      </c>
      <c r="G23" s="85" t="s">
        <v>49</v>
      </c>
      <c r="H23" s="85" t="s">
        <v>50</v>
      </c>
      <c r="I23" s="85" t="s">
        <v>51</v>
      </c>
      <c r="J23" s="85" t="s">
        <v>52</v>
      </c>
      <c r="K23" s="85" t="s">
        <v>53</v>
      </c>
      <c r="L23" s="85" t="s">
        <v>54</v>
      </c>
      <c r="M23" s="85" t="s">
        <v>55</v>
      </c>
      <c r="N23" s="85" t="s">
        <v>56</v>
      </c>
      <c r="O23" s="85" t="s">
        <v>57</v>
      </c>
      <c r="P23" s="85" t="s">
        <v>58</v>
      </c>
      <c r="Q23" s="85" t="s">
        <v>59</v>
      </c>
      <c r="R23" s="85" t="s">
        <v>60</v>
      </c>
      <c r="S23" s="85" t="s">
        <v>61</v>
      </c>
      <c r="T23" s="85" t="s">
        <v>62</v>
      </c>
      <c r="U23" s="85" t="s">
        <v>63</v>
      </c>
      <c r="V23" s="85" t="s">
        <v>64</v>
      </c>
      <c r="W23" s="85" t="s">
        <v>65</v>
      </c>
      <c r="X23" s="85" t="s">
        <v>66</v>
      </c>
      <c r="Y23" s="85" t="s">
        <v>67</v>
      </c>
      <c r="Z23" s="85" t="s">
        <v>68</v>
      </c>
      <c r="AA23" s="85" t="s">
        <v>69</v>
      </c>
      <c r="AB23" s="85" t="s">
        <v>67</v>
      </c>
      <c r="AC23" s="85" t="s">
        <v>70</v>
      </c>
      <c r="AD23" s="85" t="s">
        <v>71</v>
      </c>
    </row>
    <row r="24" spans="2:30" s="91" customFormat="1" ht="16.2" x14ac:dyDescent="0.3">
      <c r="B24" s="88"/>
      <c r="C24" s="88"/>
      <c r="D24" s="89" t="s">
        <v>72</v>
      </c>
      <c r="E24" s="89" t="s">
        <v>72</v>
      </c>
      <c r="F24" s="88" t="s">
        <v>73</v>
      </c>
      <c r="G24" s="90" t="s">
        <v>74</v>
      </c>
      <c r="H24" s="88" t="s">
        <v>72</v>
      </c>
      <c r="I24" s="88" t="s">
        <v>72</v>
      </c>
      <c r="J24" s="88" t="s">
        <v>75</v>
      </c>
      <c r="K24" s="88" t="s">
        <v>75</v>
      </c>
      <c r="L24" s="88" t="s">
        <v>75</v>
      </c>
      <c r="M24" s="88" t="s">
        <v>76</v>
      </c>
      <c r="N24" s="88" t="s">
        <v>75</v>
      </c>
      <c r="O24" s="88" t="s">
        <v>75</v>
      </c>
      <c r="P24" s="88" t="s">
        <v>77</v>
      </c>
      <c r="Q24" s="88" t="s">
        <v>78</v>
      </c>
      <c r="R24" s="88" t="s">
        <v>78</v>
      </c>
      <c r="S24" s="88" t="s">
        <v>79</v>
      </c>
      <c r="T24" s="88" t="s">
        <v>79</v>
      </c>
      <c r="U24" s="88" t="s">
        <v>78</v>
      </c>
      <c r="V24" s="88" t="s">
        <v>78</v>
      </c>
      <c r="W24" s="88" t="s">
        <v>78</v>
      </c>
      <c r="X24" s="88" t="s">
        <v>78</v>
      </c>
      <c r="Y24" s="88" t="s">
        <v>80</v>
      </c>
      <c r="Z24" s="88" t="s">
        <v>75</v>
      </c>
      <c r="AA24" s="88" t="s">
        <v>75</v>
      </c>
      <c r="AB24" s="88" t="s">
        <v>80</v>
      </c>
      <c r="AC24" s="88" t="s">
        <v>75</v>
      </c>
      <c r="AD24" s="88" t="s">
        <v>75</v>
      </c>
    </row>
    <row r="25" spans="2:30" x14ac:dyDescent="0.3">
      <c r="B25" s="150"/>
      <c r="C25" s="151"/>
      <c r="D25" s="37"/>
      <c r="E25" s="37"/>
      <c r="F25" s="152"/>
      <c r="G25" s="39"/>
      <c r="H25" s="36"/>
      <c r="I25" s="36"/>
      <c r="J25" s="38"/>
      <c r="K25" s="34"/>
      <c r="L25" s="93" t="str">
        <f>IF(G25&gt;0,K25*(1-$D$18)*(1-$D$19)*(1-$D$20),"")</f>
        <v/>
      </c>
      <c r="M25" s="93" t="str">
        <f t="shared" ref="M25:M38" si="0">IF(G25&gt;0,G25*F25,"")</f>
        <v/>
      </c>
      <c r="N25" s="93" t="str">
        <f t="shared" ref="N25:N38" si="1">IFERROR(L25*$G25*$D$7,"")</f>
        <v/>
      </c>
      <c r="O25" s="93" t="str">
        <f t="shared" ref="O25:O38" si="2">IF(G25&gt;0,J25*$G25*$D$8,"")</f>
        <v/>
      </c>
      <c r="P25" s="94" t="str">
        <f>IF(G25&gt;0,(CEILING(VLOOKUP($H25,'Techno-Economic Assumptions'!$C$5:$I$17,6,FALSE)*$M25,0.5)),"")</f>
        <v/>
      </c>
      <c r="Q25" s="92" t="str">
        <f>IFERROR($P25*'Techno-Economic Assumptions'!$D$22,"")</f>
        <v/>
      </c>
      <c r="R25" s="92" t="str">
        <f>IF(ISNUMBER(P25),'Techno-Economic Assumptions'!$D$24,"")</f>
        <v/>
      </c>
      <c r="S25" s="94" t="str">
        <f>IF(G25&gt;0,(CEILING(VLOOKUP($H25,'Techno-Economic Assumptions'!$C$5:$I$17,7,FALSE)*$M25,5)),"")</f>
        <v/>
      </c>
      <c r="T25" s="33"/>
      <c r="U25" s="138" t="str">
        <f>IFERROR(IF(ISBLANK($T25),$S25,$T25)*'Techno-Economic Assumptions'!$D$25,"")</f>
        <v/>
      </c>
      <c r="V25" s="138" t="str">
        <f>IFERROR(U25+R25+Q25,"")</f>
        <v/>
      </c>
      <c r="W25" s="138" t="str">
        <f>IFERROR(IF(ISBLANK($T25),$S25,$T25)*'Techno-Economic Assumptions'!$D$26,"")</f>
        <v/>
      </c>
      <c r="X25" s="138" t="str">
        <f>IF(I25="Not working",W25,
IF(OR(I25="Poor",I25="Acceptable"),V25,""))</f>
        <v/>
      </c>
      <c r="Y25" s="139" t="str">
        <f>_xlfn.IFNA(VLOOKUP(I25,'Techno-Economic Assumptions'!$C$31:$D$34,2,FALSE),"")</f>
        <v/>
      </c>
      <c r="Z25" s="135" t="str">
        <f>IFERROR($Y25*$N25,"")</f>
        <v/>
      </c>
      <c r="AA25" s="135" t="str">
        <f>IFERROR($Y25*$O25,"")</f>
        <v/>
      </c>
      <c r="AB25" s="139" t="str">
        <f>IFERROR(Y25+'Techno-Economic Assumptions'!$D$30,"")</f>
        <v/>
      </c>
      <c r="AC25" s="135" t="str">
        <f t="shared" ref="AC25:AC56" si="3">IFERROR($AB25*$N25,"")</f>
        <v/>
      </c>
      <c r="AD25" s="135" t="str">
        <f t="shared" ref="AD25:AD56" si="4">IFERROR($AB25*$O25,"")</f>
        <v/>
      </c>
    </row>
    <row r="26" spans="2:30" x14ac:dyDescent="0.3">
      <c r="B26" s="150"/>
      <c r="C26" s="151"/>
      <c r="D26" s="37"/>
      <c r="E26" s="37"/>
      <c r="F26" s="152"/>
      <c r="G26" s="39"/>
      <c r="H26" s="36"/>
      <c r="I26" s="36"/>
      <c r="J26" s="38"/>
      <c r="K26" s="40"/>
      <c r="L26" s="93" t="str">
        <f t="shared" ref="L26:L38" si="5">IF(G26&gt;0,K26*(1-$D$18)*(1-$D$19)*(1-$D$20),"")</f>
        <v/>
      </c>
      <c r="M26" s="93" t="str">
        <f t="shared" si="0"/>
        <v/>
      </c>
      <c r="N26" s="93" t="str">
        <f t="shared" si="1"/>
        <v/>
      </c>
      <c r="O26" s="93" t="str">
        <f t="shared" si="2"/>
        <v/>
      </c>
      <c r="P26" s="94" t="str">
        <f>IF(G26&gt;0,(CEILING(VLOOKUP($H26,'Techno-Economic Assumptions'!$C$5:$I$17,6,FALSE)*$M26,0.5)),"")</f>
        <v/>
      </c>
      <c r="Q26" s="95" t="str">
        <f>IFERROR($P26*'Techno-Economic Assumptions'!$D$22,"")</f>
        <v/>
      </c>
      <c r="R26" s="95" t="str">
        <f>IF(ISNUMBER(P26),'Techno-Economic Assumptions'!$D$24,"")</f>
        <v/>
      </c>
      <c r="S26" s="94" t="str">
        <f>IF(G26&gt;0,(CEILING(VLOOKUP($H26,'Techno-Economic Assumptions'!$C$5:$I$17,7,FALSE)*$M26,5)),"")</f>
        <v/>
      </c>
      <c r="T26" s="38"/>
      <c r="U26" s="140" t="str">
        <f>IFERROR(IF(ISBLANK($T26),$S26,$T26)*'Techno-Economic Assumptions'!$D$25,"")</f>
        <v/>
      </c>
      <c r="V26" s="140" t="str">
        <f t="shared" ref="V26:V89" si="6">IFERROR(U26+R26+Q26,"")</f>
        <v/>
      </c>
      <c r="W26" s="140" t="str">
        <f>IFERROR(IF(ISBLANK($T26),$S26,$T26)*'Techno-Economic Assumptions'!$D$26,"")</f>
        <v/>
      </c>
      <c r="X26" s="140" t="str">
        <f t="shared" ref="X26:X56" si="7">IF(I26="Not working",W26,
IF(OR(I26="Poor",I26="Acceptable"),V26,""))</f>
        <v/>
      </c>
      <c r="Y26" s="141" t="str">
        <f>_xlfn.IFNA(VLOOKUP(I26,'Techno-Economic Assumptions'!$C$31:$D$34,2,FALSE),"")</f>
        <v/>
      </c>
      <c r="Z26" s="136" t="str">
        <f>IFERROR($Y26*$N26,"")</f>
        <v/>
      </c>
      <c r="AA26" s="136" t="str">
        <f t="shared" ref="AA26:AA89" si="8">IFERROR($Y26*$O26,"")</f>
        <v/>
      </c>
      <c r="AB26" s="141" t="str">
        <f>IFERROR(Y26+'Techno-Economic Assumptions'!$D$30,"")</f>
        <v/>
      </c>
      <c r="AC26" s="136" t="str">
        <f t="shared" si="3"/>
        <v/>
      </c>
      <c r="AD26" s="136" t="str">
        <f t="shared" si="4"/>
        <v/>
      </c>
    </row>
    <row r="27" spans="2:30" x14ac:dyDescent="0.3">
      <c r="B27" s="150"/>
      <c r="C27" s="151"/>
      <c r="D27" s="37"/>
      <c r="E27" s="37"/>
      <c r="F27" s="152"/>
      <c r="G27" s="39"/>
      <c r="H27" s="36"/>
      <c r="I27" s="36"/>
      <c r="J27" s="38"/>
      <c r="K27" s="40"/>
      <c r="L27" s="93" t="str">
        <f t="shared" si="5"/>
        <v/>
      </c>
      <c r="M27" s="93" t="str">
        <f t="shared" si="0"/>
        <v/>
      </c>
      <c r="N27" s="93" t="str">
        <f t="shared" si="1"/>
        <v/>
      </c>
      <c r="O27" s="93" t="str">
        <f t="shared" si="2"/>
        <v/>
      </c>
      <c r="P27" s="94" t="str">
        <f>IF(G27&gt;0,(CEILING(VLOOKUP($H27,'Techno-Economic Assumptions'!$C$5:$I$17,6,FALSE)*$M27,0.5)),"")</f>
        <v/>
      </c>
      <c r="Q27" s="95" t="str">
        <f>IFERROR($P27*'Techno-Economic Assumptions'!$D$22,"")</f>
        <v/>
      </c>
      <c r="R27" s="95" t="str">
        <f>IF(ISNUMBER(P27),'Techno-Economic Assumptions'!$D$24,"")</f>
        <v/>
      </c>
      <c r="S27" s="94" t="str">
        <f>IF(G27&gt;0,(CEILING(VLOOKUP($H27,'Techno-Economic Assumptions'!$C$5:$I$17,7,FALSE)*$M27,5)),"")</f>
        <v/>
      </c>
      <c r="T27" s="38"/>
      <c r="U27" s="140" t="str">
        <f>IFERROR(IF(ISBLANK($T27),$S27,$T27)*'Techno-Economic Assumptions'!$D$25,"")</f>
        <v/>
      </c>
      <c r="V27" s="140" t="str">
        <f t="shared" si="6"/>
        <v/>
      </c>
      <c r="W27" s="140" t="str">
        <f>IFERROR(IF(ISBLANK($T27),$S27,$T27)*'Techno-Economic Assumptions'!$D$26,"")</f>
        <v/>
      </c>
      <c r="X27" s="140" t="str">
        <f t="shared" si="7"/>
        <v/>
      </c>
      <c r="Y27" s="141" t="str">
        <f>_xlfn.IFNA(VLOOKUP(I27,'Techno-Economic Assumptions'!$C$31:$D$34,2,FALSE),"")</f>
        <v/>
      </c>
      <c r="Z27" s="136" t="str">
        <f t="shared" ref="Z27:Z89" si="9">IFERROR($Y27*$N27,"")</f>
        <v/>
      </c>
      <c r="AA27" s="136" t="str">
        <f t="shared" si="8"/>
        <v/>
      </c>
      <c r="AB27" s="141" t="str">
        <f>IFERROR(Y27+'Techno-Economic Assumptions'!$D$30,"")</f>
        <v/>
      </c>
      <c r="AC27" s="136" t="str">
        <f t="shared" si="3"/>
        <v/>
      </c>
      <c r="AD27" s="136" t="str">
        <f t="shared" si="4"/>
        <v/>
      </c>
    </row>
    <row r="28" spans="2:30" x14ac:dyDescent="0.3">
      <c r="B28" s="150"/>
      <c r="C28" s="151"/>
      <c r="D28" s="37"/>
      <c r="E28" s="37"/>
      <c r="F28" s="152"/>
      <c r="G28" s="39"/>
      <c r="H28" s="36"/>
      <c r="I28" s="36"/>
      <c r="J28" s="38"/>
      <c r="K28" s="40"/>
      <c r="L28" s="93" t="str">
        <f t="shared" si="5"/>
        <v/>
      </c>
      <c r="M28" s="93" t="str">
        <f t="shared" si="0"/>
        <v/>
      </c>
      <c r="N28" s="93" t="str">
        <f t="shared" si="1"/>
        <v/>
      </c>
      <c r="O28" s="93" t="str">
        <f t="shared" si="2"/>
        <v/>
      </c>
      <c r="P28" s="94" t="str">
        <f>IF(G28&gt;0,(CEILING(VLOOKUP($H28,'Techno-Economic Assumptions'!$C$5:$I$17,6,FALSE)*$M28,0.5)),"")</f>
        <v/>
      </c>
      <c r="Q28" s="95" t="str">
        <f>IFERROR($P28*'Techno-Economic Assumptions'!$D$22,"")</f>
        <v/>
      </c>
      <c r="R28" s="95" t="str">
        <f>IF(ISNUMBER(P28),'Techno-Economic Assumptions'!$D$24,"")</f>
        <v/>
      </c>
      <c r="S28" s="94" t="str">
        <f>IF(G28&gt;0,(CEILING(VLOOKUP($H28,'Techno-Economic Assumptions'!$C$5:$I$17,7,FALSE)*$M28,5)),"")</f>
        <v/>
      </c>
      <c r="T28" s="38"/>
      <c r="U28" s="140" t="str">
        <f>IFERROR(IF(ISBLANK($T28),$S28,$T28)*'Techno-Economic Assumptions'!$D$25,"")</f>
        <v/>
      </c>
      <c r="V28" s="140" t="str">
        <f t="shared" si="6"/>
        <v/>
      </c>
      <c r="W28" s="140" t="str">
        <f>IFERROR(IF(ISBLANK($T28),$S28,$T28)*'Techno-Economic Assumptions'!$D$26,"")</f>
        <v/>
      </c>
      <c r="X28" s="140" t="str">
        <f t="shared" si="7"/>
        <v/>
      </c>
      <c r="Y28" s="141" t="str">
        <f>_xlfn.IFNA(VLOOKUP(I28,'Techno-Economic Assumptions'!$C$31:$D$34,2,FALSE),"")</f>
        <v/>
      </c>
      <c r="Z28" s="136" t="str">
        <f t="shared" si="9"/>
        <v/>
      </c>
      <c r="AA28" s="136" t="str">
        <f t="shared" si="8"/>
        <v/>
      </c>
      <c r="AB28" s="141" t="str">
        <f>IFERROR(Y28+'Techno-Economic Assumptions'!$D$30,"")</f>
        <v/>
      </c>
      <c r="AC28" s="136" t="str">
        <f t="shared" si="3"/>
        <v/>
      </c>
      <c r="AD28" s="136" t="str">
        <f t="shared" si="4"/>
        <v/>
      </c>
    </row>
    <row r="29" spans="2:30" x14ac:dyDescent="0.3">
      <c r="B29" s="36"/>
      <c r="C29" s="36"/>
      <c r="D29" s="37"/>
      <c r="E29" s="37"/>
      <c r="F29" s="38"/>
      <c r="G29" s="39"/>
      <c r="H29" s="36"/>
      <c r="I29" s="36"/>
      <c r="J29" s="38"/>
      <c r="K29" s="40"/>
      <c r="L29" s="93" t="str">
        <f t="shared" si="5"/>
        <v/>
      </c>
      <c r="M29" s="93" t="str">
        <f t="shared" si="0"/>
        <v/>
      </c>
      <c r="N29" s="93" t="str">
        <f t="shared" si="1"/>
        <v/>
      </c>
      <c r="O29" s="93" t="str">
        <f t="shared" si="2"/>
        <v/>
      </c>
      <c r="P29" s="94" t="str">
        <f>IF(G29&gt;0,(CEILING(VLOOKUP($H29,'Techno-Economic Assumptions'!$C$5:$I$17,6,FALSE)*$M29,0.5)),"")</f>
        <v/>
      </c>
      <c r="Q29" s="95" t="str">
        <f>IFERROR($P29*'Techno-Economic Assumptions'!$D$22,"")</f>
        <v/>
      </c>
      <c r="R29" s="95" t="str">
        <f>IF(ISNUMBER(P29),'Techno-Economic Assumptions'!$D$24,"")</f>
        <v/>
      </c>
      <c r="S29" s="94" t="str">
        <f>IF(G29&gt;0,(CEILING(VLOOKUP($H29,'Techno-Economic Assumptions'!$C$5:$I$17,7,FALSE)*$M29,5)),"")</f>
        <v/>
      </c>
      <c r="T29" s="38"/>
      <c r="U29" s="140" t="str">
        <f>IFERROR(IF(ISBLANK($T29),$S29,$T29)*'Techno-Economic Assumptions'!$D$25,"")</f>
        <v/>
      </c>
      <c r="V29" s="140" t="str">
        <f t="shared" si="6"/>
        <v/>
      </c>
      <c r="W29" s="140" t="str">
        <f>IFERROR(IF(ISBLANK($T29),$S29,$T29)*'Techno-Economic Assumptions'!$D$26,"")</f>
        <v/>
      </c>
      <c r="X29" s="140" t="str">
        <f t="shared" si="7"/>
        <v/>
      </c>
      <c r="Y29" s="141" t="str">
        <f>_xlfn.IFNA(VLOOKUP(I29,'Techno-Economic Assumptions'!$C$31:$D$34,2,FALSE),"")</f>
        <v/>
      </c>
      <c r="Z29" s="136" t="str">
        <f t="shared" si="9"/>
        <v/>
      </c>
      <c r="AA29" s="136" t="str">
        <f t="shared" si="8"/>
        <v/>
      </c>
      <c r="AB29" s="141" t="str">
        <f>IFERROR(Y29+'Techno-Economic Assumptions'!$D$30,"")</f>
        <v/>
      </c>
      <c r="AC29" s="136" t="str">
        <f t="shared" si="3"/>
        <v/>
      </c>
      <c r="AD29" s="136" t="str">
        <f t="shared" si="4"/>
        <v/>
      </c>
    </row>
    <row r="30" spans="2:30" x14ac:dyDescent="0.3">
      <c r="B30" s="36"/>
      <c r="C30" s="36"/>
      <c r="D30" s="37"/>
      <c r="E30" s="37"/>
      <c r="F30" s="38"/>
      <c r="G30" s="39"/>
      <c r="H30" s="36"/>
      <c r="I30" s="36"/>
      <c r="J30" s="38"/>
      <c r="K30" s="40"/>
      <c r="L30" s="93" t="str">
        <f t="shared" si="5"/>
        <v/>
      </c>
      <c r="M30" s="93" t="str">
        <f t="shared" si="0"/>
        <v/>
      </c>
      <c r="N30" s="93" t="str">
        <f t="shared" si="1"/>
        <v/>
      </c>
      <c r="O30" s="93" t="str">
        <f t="shared" si="2"/>
        <v/>
      </c>
      <c r="P30" s="94" t="str">
        <f>IF(G30&gt;0,(CEILING(VLOOKUP($H30,'Techno-Economic Assumptions'!$C$5:$I$17,6,FALSE)*$M30,0.5)),"")</f>
        <v/>
      </c>
      <c r="Q30" s="95" t="str">
        <f>IFERROR($P30*'Techno-Economic Assumptions'!$D$22,"")</f>
        <v/>
      </c>
      <c r="R30" s="95" t="str">
        <f>IF(ISNUMBER(P30),'Techno-Economic Assumptions'!$D$24,"")</f>
        <v/>
      </c>
      <c r="S30" s="94" t="str">
        <f>IF(G30&gt;0,(CEILING(VLOOKUP($H30,'Techno-Economic Assumptions'!$C$5:$I$17,7,FALSE)*$M30,5)),"")</f>
        <v/>
      </c>
      <c r="T30" s="38"/>
      <c r="U30" s="140" t="str">
        <f>IFERROR(IF(ISBLANK($T30),$S30,$T30)*'Techno-Economic Assumptions'!$D$25,"")</f>
        <v/>
      </c>
      <c r="V30" s="140" t="str">
        <f t="shared" si="6"/>
        <v/>
      </c>
      <c r="W30" s="140" t="str">
        <f>IFERROR(IF(ISBLANK($T30),$S30,$T30)*'Techno-Economic Assumptions'!$D$26,"")</f>
        <v/>
      </c>
      <c r="X30" s="140" t="str">
        <f t="shared" si="7"/>
        <v/>
      </c>
      <c r="Y30" s="141" t="str">
        <f>_xlfn.IFNA(VLOOKUP(I30,'Techno-Economic Assumptions'!$C$31:$D$34,2,FALSE),"")</f>
        <v/>
      </c>
      <c r="Z30" s="136" t="str">
        <f t="shared" si="9"/>
        <v/>
      </c>
      <c r="AA30" s="136" t="str">
        <f t="shared" si="8"/>
        <v/>
      </c>
      <c r="AB30" s="141" t="str">
        <f>IFERROR(Y30+'Techno-Economic Assumptions'!$D$30,"")</f>
        <v/>
      </c>
      <c r="AC30" s="136" t="str">
        <f t="shared" si="3"/>
        <v/>
      </c>
      <c r="AD30" s="136" t="str">
        <f t="shared" si="4"/>
        <v/>
      </c>
    </row>
    <row r="31" spans="2:30" x14ac:dyDescent="0.3">
      <c r="B31" s="36"/>
      <c r="C31" s="36"/>
      <c r="D31" s="37"/>
      <c r="E31" s="37"/>
      <c r="F31" s="38"/>
      <c r="G31" s="39"/>
      <c r="H31" s="36"/>
      <c r="I31" s="36"/>
      <c r="J31" s="38"/>
      <c r="K31" s="40"/>
      <c r="L31" s="93" t="str">
        <f t="shared" si="5"/>
        <v/>
      </c>
      <c r="M31" s="93" t="str">
        <f t="shared" si="0"/>
        <v/>
      </c>
      <c r="N31" s="93" t="str">
        <f t="shared" si="1"/>
        <v/>
      </c>
      <c r="O31" s="93" t="str">
        <f t="shared" si="2"/>
        <v/>
      </c>
      <c r="P31" s="94" t="str">
        <f>IF(G31&gt;0,(CEILING(VLOOKUP($H31,'Techno-Economic Assumptions'!$C$5:$I$17,6,FALSE)*$M31,0.5)),"")</f>
        <v/>
      </c>
      <c r="Q31" s="95" t="str">
        <f>IFERROR($P31*'Techno-Economic Assumptions'!$D$22,"")</f>
        <v/>
      </c>
      <c r="R31" s="95" t="str">
        <f>IF(ISNUMBER(P31),'Techno-Economic Assumptions'!$D$24,"")</f>
        <v/>
      </c>
      <c r="S31" s="94" t="str">
        <f>IF(G31&gt;0,(CEILING(VLOOKUP($H31,'Techno-Economic Assumptions'!$C$5:$I$17,7,FALSE)*$M31,5)),"")</f>
        <v/>
      </c>
      <c r="T31" s="38"/>
      <c r="U31" s="140" t="str">
        <f>IFERROR(IF(ISBLANK($T31),$S31,$T31)*'Techno-Economic Assumptions'!$D$25,"")</f>
        <v/>
      </c>
      <c r="V31" s="140" t="str">
        <f t="shared" si="6"/>
        <v/>
      </c>
      <c r="W31" s="140" t="str">
        <f>IFERROR(IF(ISBLANK($T31),$S31,$T31)*'Techno-Economic Assumptions'!$D$26,"")</f>
        <v/>
      </c>
      <c r="X31" s="140" t="str">
        <f t="shared" si="7"/>
        <v/>
      </c>
      <c r="Y31" s="141" t="str">
        <f>_xlfn.IFNA(VLOOKUP(I31,'Techno-Economic Assumptions'!$C$31:$D$34,2,FALSE),"")</f>
        <v/>
      </c>
      <c r="Z31" s="136" t="str">
        <f t="shared" si="9"/>
        <v/>
      </c>
      <c r="AA31" s="136" t="str">
        <f t="shared" si="8"/>
        <v/>
      </c>
      <c r="AB31" s="141" t="str">
        <f>IFERROR(Y31+'Techno-Economic Assumptions'!$D$30,"")</f>
        <v/>
      </c>
      <c r="AC31" s="136" t="str">
        <f t="shared" si="3"/>
        <v/>
      </c>
      <c r="AD31" s="136" t="str">
        <f t="shared" si="4"/>
        <v/>
      </c>
    </row>
    <row r="32" spans="2:30" x14ac:dyDescent="0.3">
      <c r="B32" s="36"/>
      <c r="C32" s="36"/>
      <c r="D32" s="37"/>
      <c r="E32" s="37"/>
      <c r="F32" s="38"/>
      <c r="G32" s="39"/>
      <c r="H32" s="36"/>
      <c r="I32" s="36"/>
      <c r="J32" s="38"/>
      <c r="K32" s="40"/>
      <c r="L32" s="93" t="str">
        <f t="shared" si="5"/>
        <v/>
      </c>
      <c r="M32" s="93" t="str">
        <f t="shared" si="0"/>
        <v/>
      </c>
      <c r="N32" s="93" t="str">
        <f t="shared" si="1"/>
        <v/>
      </c>
      <c r="O32" s="93" t="str">
        <f t="shared" si="2"/>
        <v/>
      </c>
      <c r="P32" s="94" t="str">
        <f>IF(G32&gt;0,(CEILING(VLOOKUP($H32,'Techno-Economic Assumptions'!$C$5:$I$17,6,FALSE)*$M32,0.5)),"")</f>
        <v/>
      </c>
      <c r="Q32" s="95" t="str">
        <f>IFERROR($P32*'Techno-Economic Assumptions'!$D$22,"")</f>
        <v/>
      </c>
      <c r="R32" s="95" t="str">
        <f>IF(ISNUMBER(P32),'Techno-Economic Assumptions'!$D$24,"")</f>
        <v/>
      </c>
      <c r="S32" s="94" t="str">
        <f>IF(G32&gt;0,(CEILING(VLOOKUP($H32,'Techno-Economic Assumptions'!$C$5:$I$17,7,FALSE)*$M32,5)),"")</f>
        <v/>
      </c>
      <c r="T32" s="38"/>
      <c r="U32" s="140" t="str">
        <f>IFERROR(IF(ISBLANK($T32),$S32,$T32)*'Techno-Economic Assumptions'!$D$25,"")</f>
        <v/>
      </c>
      <c r="V32" s="140" t="str">
        <f t="shared" si="6"/>
        <v/>
      </c>
      <c r="W32" s="140" t="str">
        <f>IFERROR(IF(ISBLANK($T32),$S32,$T32)*'Techno-Economic Assumptions'!$D$26,"")</f>
        <v/>
      </c>
      <c r="X32" s="140" t="str">
        <f t="shared" si="7"/>
        <v/>
      </c>
      <c r="Y32" s="141" t="str">
        <f>_xlfn.IFNA(VLOOKUP(I32,'Techno-Economic Assumptions'!$C$31:$D$34,2,FALSE),"")</f>
        <v/>
      </c>
      <c r="Z32" s="136" t="str">
        <f t="shared" si="9"/>
        <v/>
      </c>
      <c r="AA32" s="136" t="str">
        <f t="shared" si="8"/>
        <v/>
      </c>
      <c r="AB32" s="141" t="str">
        <f>IFERROR(Y32+'Techno-Economic Assumptions'!$D$30,"")</f>
        <v/>
      </c>
      <c r="AC32" s="136" t="str">
        <f t="shared" si="3"/>
        <v/>
      </c>
      <c r="AD32" s="136" t="str">
        <f t="shared" si="4"/>
        <v/>
      </c>
    </row>
    <row r="33" spans="2:30" x14ac:dyDescent="0.3">
      <c r="B33" s="36"/>
      <c r="C33" s="36"/>
      <c r="D33" s="37"/>
      <c r="E33" s="37"/>
      <c r="F33" s="38"/>
      <c r="G33" s="39"/>
      <c r="H33" s="36"/>
      <c r="I33" s="36"/>
      <c r="J33" s="38"/>
      <c r="K33" s="40"/>
      <c r="L33" s="93" t="str">
        <f t="shared" si="5"/>
        <v/>
      </c>
      <c r="M33" s="93" t="str">
        <f t="shared" si="0"/>
        <v/>
      </c>
      <c r="N33" s="93" t="str">
        <f t="shared" si="1"/>
        <v/>
      </c>
      <c r="O33" s="93" t="str">
        <f t="shared" si="2"/>
        <v/>
      </c>
      <c r="P33" s="94" t="str">
        <f>IF(G33&gt;0,(CEILING(VLOOKUP($H33,'Techno-Economic Assumptions'!$C$5:$I$17,6,FALSE)*$M33,0.5)),"")</f>
        <v/>
      </c>
      <c r="Q33" s="95" t="str">
        <f>IFERROR($P33*'Techno-Economic Assumptions'!$D$22,"")</f>
        <v/>
      </c>
      <c r="R33" s="95" t="str">
        <f>IF(ISNUMBER(P33),'Techno-Economic Assumptions'!$D$24,"")</f>
        <v/>
      </c>
      <c r="S33" s="94" t="str">
        <f>IF(G33&gt;0,(CEILING(VLOOKUP($H33,'Techno-Economic Assumptions'!$C$5:$I$17,7,FALSE)*$M33,5)),"")</f>
        <v/>
      </c>
      <c r="T33" s="38"/>
      <c r="U33" s="140" t="str">
        <f>IFERROR(IF(ISBLANK($T33),$S33,$T33)*'Techno-Economic Assumptions'!$D$25,"")</f>
        <v/>
      </c>
      <c r="V33" s="140" t="str">
        <f t="shared" si="6"/>
        <v/>
      </c>
      <c r="W33" s="140" t="str">
        <f>IFERROR(IF(ISBLANK($T33),$S33,$T33)*'Techno-Economic Assumptions'!$D$26,"")</f>
        <v/>
      </c>
      <c r="X33" s="140" t="str">
        <f t="shared" si="7"/>
        <v/>
      </c>
      <c r="Y33" s="141" t="str">
        <f>_xlfn.IFNA(VLOOKUP(I33,'Techno-Economic Assumptions'!$C$31:$D$34,2,FALSE),"")</f>
        <v/>
      </c>
      <c r="Z33" s="136" t="str">
        <f t="shared" si="9"/>
        <v/>
      </c>
      <c r="AA33" s="136" t="str">
        <f t="shared" si="8"/>
        <v/>
      </c>
      <c r="AB33" s="141" t="str">
        <f>IFERROR(Y33+'Techno-Economic Assumptions'!$D$30,"")</f>
        <v/>
      </c>
      <c r="AC33" s="136" t="str">
        <f t="shared" si="3"/>
        <v/>
      </c>
      <c r="AD33" s="136" t="str">
        <f t="shared" si="4"/>
        <v/>
      </c>
    </row>
    <row r="34" spans="2:30" x14ac:dyDescent="0.3">
      <c r="B34" s="36"/>
      <c r="C34" s="36"/>
      <c r="D34" s="37"/>
      <c r="E34" s="37"/>
      <c r="F34" s="38"/>
      <c r="G34" s="39"/>
      <c r="H34" s="36"/>
      <c r="I34" s="36"/>
      <c r="J34" s="38"/>
      <c r="K34" s="40"/>
      <c r="L34" s="93" t="str">
        <f t="shared" si="5"/>
        <v/>
      </c>
      <c r="M34" s="93" t="str">
        <f t="shared" si="0"/>
        <v/>
      </c>
      <c r="N34" s="93" t="str">
        <f t="shared" si="1"/>
        <v/>
      </c>
      <c r="O34" s="93" t="str">
        <f t="shared" si="2"/>
        <v/>
      </c>
      <c r="P34" s="94" t="str">
        <f>IF(G34&gt;0,(CEILING(VLOOKUP($H34,'Techno-Economic Assumptions'!$C$5:$I$17,6,FALSE)*$M34,0.5)),"")</f>
        <v/>
      </c>
      <c r="Q34" s="95" t="str">
        <f>IFERROR($P34*'Techno-Economic Assumptions'!$D$22,"")</f>
        <v/>
      </c>
      <c r="R34" s="95" t="str">
        <f>IF(ISNUMBER(P34),'Techno-Economic Assumptions'!$D$24,"")</f>
        <v/>
      </c>
      <c r="S34" s="94" t="str">
        <f>IF(G34&gt;0,(CEILING(VLOOKUP($H34,'Techno-Economic Assumptions'!$C$5:$I$17,7,FALSE)*$M34,5)),"")</f>
        <v/>
      </c>
      <c r="T34" s="38"/>
      <c r="U34" s="140" t="str">
        <f>IFERROR(IF(ISBLANK($T34),$S34,$T34)*'Techno-Economic Assumptions'!$D$25,"")</f>
        <v/>
      </c>
      <c r="V34" s="140" t="str">
        <f t="shared" si="6"/>
        <v/>
      </c>
      <c r="W34" s="140" t="str">
        <f>IFERROR(IF(ISBLANK($T34),$S34,$T34)*'Techno-Economic Assumptions'!$D$26,"")</f>
        <v/>
      </c>
      <c r="X34" s="140" t="str">
        <f t="shared" si="7"/>
        <v/>
      </c>
      <c r="Y34" s="141" t="str">
        <f>_xlfn.IFNA(VLOOKUP(I34,'Techno-Economic Assumptions'!$C$31:$D$34,2,FALSE),"")</f>
        <v/>
      </c>
      <c r="Z34" s="136" t="str">
        <f t="shared" si="9"/>
        <v/>
      </c>
      <c r="AA34" s="136" t="str">
        <f t="shared" si="8"/>
        <v/>
      </c>
      <c r="AB34" s="141" t="str">
        <f>IFERROR(Y34+'Techno-Economic Assumptions'!$D$30,"")</f>
        <v/>
      </c>
      <c r="AC34" s="136" t="str">
        <f t="shared" si="3"/>
        <v/>
      </c>
      <c r="AD34" s="136" t="str">
        <f t="shared" si="4"/>
        <v/>
      </c>
    </row>
    <row r="35" spans="2:30" x14ac:dyDescent="0.3">
      <c r="B35" s="36"/>
      <c r="C35" s="36"/>
      <c r="D35" s="37"/>
      <c r="E35" s="37"/>
      <c r="F35" s="38"/>
      <c r="G35" s="39"/>
      <c r="H35" s="36"/>
      <c r="I35" s="36"/>
      <c r="J35" s="38"/>
      <c r="K35" s="40"/>
      <c r="L35" s="93" t="str">
        <f t="shared" si="5"/>
        <v/>
      </c>
      <c r="M35" s="93" t="str">
        <f t="shared" si="0"/>
        <v/>
      </c>
      <c r="N35" s="93" t="str">
        <f t="shared" si="1"/>
        <v/>
      </c>
      <c r="O35" s="93" t="str">
        <f t="shared" si="2"/>
        <v/>
      </c>
      <c r="P35" s="94" t="str">
        <f>IF(G35&gt;0,(CEILING(VLOOKUP($H35,'Techno-Economic Assumptions'!$C$5:$I$17,6,FALSE)*$M35,0.5)),"")</f>
        <v/>
      </c>
      <c r="Q35" s="95" t="str">
        <f>IFERROR($P35*'Techno-Economic Assumptions'!$D$22,"")</f>
        <v/>
      </c>
      <c r="R35" s="95" t="str">
        <f>IF(ISNUMBER(P35),'Techno-Economic Assumptions'!$D$24,"")</f>
        <v/>
      </c>
      <c r="S35" s="94" t="str">
        <f>IF(G35&gt;0,(CEILING(VLOOKUP($H35,'Techno-Economic Assumptions'!$C$5:$I$17,7,FALSE)*$M35,5)),"")</f>
        <v/>
      </c>
      <c r="T35" s="38"/>
      <c r="U35" s="140" t="str">
        <f>IFERROR(IF(ISBLANK($T35),$S35,$T35)*'Techno-Economic Assumptions'!$D$25,"")</f>
        <v/>
      </c>
      <c r="V35" s="140" t="str">
        <f t="shared" si="6"/>
        <v/>
      </c>
      <c r="W35" s="140" t="str">
        <f>IFERROR(IF(ISBLANK($T35),$S35,$T35)*'Techno-Economic Assumptions'!$D$26,"")</f>
        <v/>
      </c>
      <c r="X35" s="140" t="str">
        <f t="shared" si="7"/>
        <v/>
      </c>
      <c r="Y35" s="141" t="str">
        <f>_xlfn.IFNA(VLOOKUP(I35,'Techno-Economic Assumptions'!$C$31:$D$34,2,FALSE),"")</f>
        <v/>
      </c>
      <c r="Z35" s="136" t="str">
        <f t="shared" si="9"/>
        <v/>
      </c>
      <c r="AA35" s="136" t="str">
        <f t="shared" si="8"/>
        <v/>
      </c>
      <c r="AB35" s="141" t="str">
        <f>IFERROR(Y35+'Techno-Economic Assumptions'!$D$30,"")</f>
        <v/>
      </c>
      <c r="AC35" s="136" t="str">
        <f t="shared" si="3"/>
        <v/>
      </c>
      <c r="AD35" s="136" t="str">
        <f t="shared" si="4"/>
        <v/>
      </c>
    </row>
    <row r="36" spans="2:30" x14ac:dyDescent="0.3">
      <c r="B36" s="36"/>
      <c r="C36" s="36"/>
      <c r="D36" s="37"/>
      <c r="E36" s="37"/>
      <c r="F36" s="38"/>
      <c r="G36" s="39"/>
      <c r="H36" s="36"/>
      <c r="I36" s="36"/>
      <c r="J36" s="38"/>
      <c r="K36" s="40"/>
      <c r="L36" s="93" t="str">
        <f t="shared" si="5"/>
        <v/>
      </c>
      <c r="M36" s="93" t="str">
        <f t="shared" si="0"/>
        <v/>
      </c>
      <c r="N36" s="93" t="str">
        <f t="shared" si="1"/>
        <v/>
      </c>
      <c r="O36" s="93" t="str">
        <f t="shared" si="2"/>
        <v/>
      </c>
      <c r="P36" s="94" t="str">
        <f>IF(G36&gt;0,(CEILING(VLOOKUP($H36,'Techno-Economic Assumptions'!$C$5:$I$17,6,FALSE)*$M36,0.5)),"")</f>
        <v/>
      </c>
      <c r="Q36" s="95" t="str">
        <f>IFERROR($P36*'Techno-Economic Assumptions'!$D$22,"")</f>
        <v/>
      </c>
      <c r="R36" s="95" t="str">
        <f>IF(ISNUMBER(P36),'Techno-Economic Assumptions'!$D$24,"")</f>
        <v/>
      </c>
      <c r="S36" s="94" t="str">
        <f>IF(G36&gt;0,(CEILING(VLOOKUP($H36,'Techno-Economic Assumptions'!$C$5:$I$17,7,FALSE)*$M36,5)),"")</f>
        <v/>
      </c>
      <c r="T36" s="38"/>
      <c r="U36" s="140" t="str">
        <f>IFERROR(IF(ISBLANK($T36),$S36,$T36)*'Techno-Economic Assumptions'!$D$25,"")</f>
        <v/>
      </c>
      <c r="V36" s="140" t="str">
        <f t="shared" si="6"/>
        <v/>
      </c>
      <c r="W36" s="140" t="str">
        <f>IFERROR(IF(ISBLANK($T36),$S36,$T36)*'Techno-Economic Assumptions'!$D$26,"")</f>
        <v/>
      </c>
      <c r="X36" s="140" t="str">
        <f t="shared" si="7"/>
        <v/>
      </c>
      <c r="Y36" s="141" t="str">
        <f>_xlfn.IFNA(VLOOKUP(I36,'Techno-Economic Assumptions'!$C$31:$D$34,2,FALSE),"")</f>
        <v/>
      </c>
      <c r="Z36" s="136" t="str">
        <f t="shared" si="9"/>
        <v/>
      </c>
      <c r="AA36" s="136" t="str">
        <f t="shared" si="8"/>
        <v/>
      </c>
      <c r="AB36" s="141" t="str">
        <f>IFERROR(Y36+'Techno-Economic Assumptions'!$D$30,"")</f>
        <v/>
      </c>
      <c r="AC36" s="136" t="str">
        <f t="shared" si="3"/>
        <v/>
      </c>
      <c r="AD36" s="136" t="str">
        <f t="shared" si="4"/>
        <v/>
      </c>
    </row>
    <row r="37" spans="2:30" x14ac:dyDescent="0.3">
      <c r="B37" s="36"/>
      <c r="C37" s="36"/>
      <c r="D37" s="37"/>
      <c r="E37" s="37"/>
      <c r="F37" s="38"/>
      <c r="G37" s="39"/>
      <c r="H37" s="36"/>
      <c r="I37" s="36"/>
      <c r="J37" s="38"/>
      <c r="K37" s="40"/>
      <c r="L37" s="93" t="str">
        <f t="shared" si="5"/>
        <v/>
      </c>
      <c r="M37" s="93" t="str">
        <f t="shared" si="0"/>
        <v/>
      </c>
      <c r="N37" s="93" t="str">
        <f t="shared" si="1"/>
        <v/>
      </c>
      <c r="O37" s="93" t="str">
        <f t="shared" si="2"/>
        <v/>
      </c>
      <c r="P37" s="94" t="str">
        <f>IF(G37&gt;0,(CEILING(VLOOKUP($H37,'Techno-Economic Assumptions'!$C$5:$I$17,6,FALSE)*$M37,0.5)),"")</f>
        <v/>
      </c>
      <c r="Q37" s="95" t="str">
        <f>IFERROR($P37*'Techno-Economic Assumptions'!$D$22,"")</f>
        <v/>
      </c>
      <c r="R37" s="95" t="str">
        <f>IF(ISNUMBER(P37),'Techno-Economic Assumptions'!$D$24,"")</f>
        <v/>
      </c>
      <c r="S37" s="94" t="str">
        <f>IF(G37&gt;0,(CEILING(VLOOKUP($H37,'Techno-Economic Assumptions'!$C$5:$I$17,7,FALSE)*$M37,5)),"")</f>
        <v/>
      </c>
      <c r="T37" s="38"/>
      <c r="U37" s="140" t="str">
        <f>IFERROR(IF(ISBLANK($T37),$S37,$T37)*'Techno-Economic Assumptions'!$D$25,"")</f>
        <v/>
      </c>
      <c r="V37" s="140" t="str">
        <f t="shared" si="6"/>
        <v/>
      </c>
      <c r="W37" s="140" t="str">
        <f>IFERROR(IF(ISBLANK($T37),$S37,$T37)*'Techno-Economic Assumptions'!$D$26,"")</f>
        <v/>
      </c>
      <c r="X37" s="140" t="str">
        <f t="shared" si="7"/>
        <v/>
      </c>
      <c r="Y37" s="141" t="str">
        <f>_xlfn.IFNA(VLOOKUP(I37,'Techno-Economic Assumptions'!$C$31:$D$34,2,FALSE),"")</f>
        <v/>
      </c>
      <c r="Z37" s="136" t="str">
        <f t="shared" si="9"/>
        <v/>
      </c>
      <c r="AA37" s="136" t="str">
        <f t="shared" si="8"/>
        <v/>
      </c>
      <c r="AB37" s="141" t="str">
        <f>IFERROR(Y37+'Techno-Economic Assumptions'!$D$30,"")</f>
        <v/>
      </c>
      <c r="AC37" s="136" t="str">
        <f t="shared" si="3"/>
        <v/>
      </c>
      <c r="AD37" s="136" t="str">
        <f t="shared" si="4"/>
        <v/>
      </c>
    </row>
    <row r="38" spans="2:30" x14ac:dyDescent="0.3">
      <c r="B38" s="36"/>
      <c r="C38" s="36"/>
      <c r="D38" s="37"/>
      <c r="E38" s="37"/>
      <c r="F38" s="38"/>
      <c r="G38" s="39"/>
      <c r="H38" s="36"/>
      <c r="I38" s="36"/>
      <c r="J38" s="38"/>
      <c r="K38" s="40"/>
      <c r="L38" s="93" t="str">
        <f t="shared" si="5"/>
        <v/>
      </c>
      <c r="M38" s="93" t="str">
        <f t="shared" si="0"/>
        <v/>
      </c>
      <c r="N38" s="93" t="str">
        <f t="shared" si="1"/>
        <v/>
      </c>
      <c r="O38" s="93" t="str">
        <f t="shared" si="2"/>
        <v/>
      </c>
      <c r="P38" s="94" t="str">
        <f>IF(G38&gt;0,(CEILING(VLOOKUP($H38,'Techno-Economic Assumptions'!$C$5:$I$17,6,FALSE)*$M38,0.5)),"")</f>
        <v/>
      </c>
      <c r="Q38" s="95" t="str">
        <f>IFERROR($P38*'Techno-Economic Assumptions'!$D$22,"")</f>
        <v/>
      </c>
      <c r="R38" s="95" t="str">
        <f>IF(ISNUMBER(P38),'Techno-Economic Assumptions'!$D$24,"")</f>
        <v/>
      </c>
      <c r="S38" s="94" t="str">
        <f>IF(G38&gt;0,(CEILING(VLOOKUP($H38,'Techno-Economic Assumptions'!$C$5:$I$17,7,FALSE)*$M38,5)),"")</f>
        <v/>
      </c>
      <c r="T38" s="38"/>
      <c r="U38" s="140" t="str">
        <f>IFERROR(IF(ISBLANK($T38),$S38,$T38)*'Techno-Economic Assumptions'!$D$25,"")</f>
        <v/>
      </c>
      <c r="V38" s="140" t="str">
        <f t="shared" si="6"/>
        <v/>
      </c>
      <c r="W38" s="140" t="str">
        <f>IFERROR(IF(ISBLANK($T38),$S38,$T38)*'Techno-Economic Assumptions'!$D$26,"")</f>
        <v/>
      </c>
      <c r="X38" s="140" t="str">
        <f t="shared" si="7"/>
        <v/>
      </c>
      <c r="Y38" s="141" t="str">
        <f>_xlfn.IFNA(VLOOKUP(I38,'Techno-Economic Assumptions'!$C$31:$D$34,2,FALSE),"")</f>
        <v/>
      </c>
      <c r="Z38" s="136" t="str">
        <f t="shared" si="9"/>
        <v/>
      </c>
      <c r="AA38" s="136" t="str">
        <f t="shared" si="8"/>
        <v/>
      </c>
      <c r="AB38" s="141" t="str">
        <f>IFERROR(Y38+'Techno-Economic Assumptions'!$D$30,"")</f>
        <v/>
      </c>
      <c r="AC38" s="136" t="str">
        <f t="shared" si="3"/>
        <v/>
      </c>
      <c r="AD38" s="136" t="str">
        <f t="shared" si="4"/>
        <v/>
      </c>
    </row>
    <row r="39" spans="2:30" x14ac:dyDescent="0.3">
      <c r="B39" s="36"/>
      <c r="C39" s="36"/>
      <c r="D39" s="37"/>
      <c r="E39" s="37"/>
      <c r="F39" s="38"/>
      <c r="G39" s="39"/>
      <c r="H39" s="36"/>
      <c r="I39" s="36"/>
      <c r="J39" s="38"/>
      <c r="K39" s="40"/>
      <c r="L39" s="93" t="str">
        <f>IF(G39&gt;0,K39*(1-$D$18)*(1-$D$19)*(1-$D$20),"")</f>
        <v/>
      </c>
      <c r="M39" s="93" t="str">
        <f>IF(G39&gt;0,G39*F39,"")</f>
        <v/>
      </c>
      <c r="N39" s="93" t="str">
        <f>IFERROR(L39*$G39*$D$7,"")</f>
        <v/>
      </c>
      <c r="O39" s="93" t="str">
        <f>IF(G39&gt;0,J39*$G39*$D$8,"")</f>
        <v/>
      </c>
      <c r="P39" s="94" t="str">
        <f>IF(G39&gt;0,(CEILING(VLOOKUP($H39,'Techno-Economic Assumptions'!$C$5:$I$17,6,FALSE)*$M39,0.5)),"")</f>
        <v/>
      </c>
      <c r="Q39" s="95" t="str">
        <f>IFERROR($P39*'Techno-Economic Assumptions'!$D$22,"")</f>
        <v/>
      </c>
      <c r="R39" s="95" t="str">
        <f>IF(ISNUMBER(P39),'Techno-Economic Assumptions'!$D$24,"")</f>
        <v/>
      </c>
      <c r="S39" s="94" t="str">
        <f>IF(G39&gt;0,(CEILING(VLOOKUP($H39,'Techno-Economic Assumptions'!$C$5:$I$17,7,FALSE)*$M39,5)),"")</f>
        <v/>
      </c>
      <c r="T39" s="38"/>
      <c r="U39" s="140" t="str">
        <f>IFERROR(IF(ISBLANK($T39),$S39,$T39)*'Techno-Economic Assumptions'!$D$25,"")</f>
        <v/>
      </c>
      <c r="V39" s="140" t="str">
        <f t="shared" si="6"/>
        <v/>
      </c>
      <c r="W39" s="140" t="str">
        <f>IFERROR(IF(ISBLANK($T39),$S39,$T39)*'Techno-Economic Assumptions'!$D$26,"")</f>
        <v/>
      </c>
      <c r="X39" s="140" t="str">
        <f t="shared" si="7"/>
        <v/>
      </c>
      <c r="Y39" s="141" t="str">
        <f>_xlfn.IFNA(VLOOKUP(I39,'Techno-Economic Assumptions'!$C$31:$D$34,2,FALSE),"")</f>
        <v/>
      </c>
      <c r="Z39" s="136" t="str">
        <f t="shared" si="9"/>
        <v/>
      </c>
      <c r="AA39" s="136" t="str">
        <f t="shared" si="8"/>
        <v/>
      </c>
      <c r="AB39" s="141" t="str">
        <f>IFERROR(Y39+'Techno-Economic Assumptions'!$D$30,"")</f>
        <v/>
      </c>
      <c r="AC39" s="136" t="str">
        <f t="shared" si="3"/>
        <v/>
      </c>
      <c r="AD39" s="136" t="str">
        <f t="shared" si="4"/>
        <v/>
      </c>
    </row>
    <row r="40" spans="2:30" x14ac:dyDescent="0.3">
      <c r="B40" s="36"/>
      <c r="C40" s="36"/>
      <c r="D40" s="37"/>
      <c r="E40" s="37"/>
      <c r="F40" s="38"/>
      <c r="G40" s="39"/>
      <c r="H40" s="36"/>
      <c r="I40" s="36"/>
      <c r="J40" s="38"/>
      <c r="K40" s="40"/>
      <c r="L40" s="93" t="str">
        <f t="shared" ref="L40:L103" si="10">IF(G40&gt;0,K40*(1-$D$18)*(1-$D$19)*(1-$D$20),"")</f>
        <v/>
      </c>
      <c r="M40" s="93" t="str">
        <f t="shared" ref="M40:M103" si="11">IF(G40&gt;0,G40*F40,"")</f>
        <v/>
      </c>
      <c r="N40" s="93" t="str">
        <f t="shared" ref="N40:N103" si="12">IFERROR(L40*$G40*$D$7,"")</f>
        <v/>
      </c>
      <c r="O40" s="93" t="str">
        <f t="shared" ref="O40:O103" si="13">IF(G40&gt;0,J40*$G40*$D$8,"")</f>
        <v/>
      </c>
      <c r="P40" s="94" t="str">
        <f>IF(G40&gt;0,(CEILING(VLOOKUP($H40,'Techno-Economic Assumptions'!$C$5:$I$17,6,FALSE)*$M40,0.5)),"")</f>
        <v/>
      </c>
      <c r="Q40" s="95" t="str">
        <f>IFERROR($P40*'Techno-Economic Assumptions'!$D$22,"")</f>
        <v/>
      </c>
      <c r="R40" s="95" t="str">
        <f>IF(ISNUMBER(P40),'Techno-Economic Assumptions'!$D$24,"")</f>
        <v/>
      </c>
      <c r="S40" s="94" t="str">
        <f>IF(G40&gt;0,(CEILING(VLOOKUP($H40,'Techno-Economic Assumptions'!$C$5:$I$17,7,FALSE)*$M40,5)),"")</f>
        <v/>
      </c>
      <c r="T40" s="38"/>
      <c r="U40" s="140" t="str">
        <f>IFERROR(IF(ISBLANK($T40),$S40,$T40)*'Techno-Economic Assumptions'!$D$25,"")</f>
        <v/>
      </c>
      <c r="V40" s="140" t="str">
        <f t="shared" si="6"/>
        <v/>
      </c>
      <c r="W40" s="140" t="str">
        <f>IFERROR(IF(ISBLANK($T40),$S40,$T40)*'Techno-Economic Assumptions'!$D$26,"")</f>
        <v/>
      </c>
      <c r="X40" s="140" t="str">
        <f t="shared" si="7"/>
        <v/>
      </c>
      <c r="Y40" s="141" t="str">
        <f>_xlfn.IFNA(VLOOKUP(I40,'Techno-Economic Assumptions'!$C$31:$D$34,2,FALSE),"")</f>
        <v/>
      </c>
      <c r="Z40" s="136" t="str">
        <f t="shared" si="9"/>
        <v/>
      </c>
      <c r="AA40" s="136" t="str">
        <f t="shared" si="8"/>
        <v/>
      </c>
      <c r="AB40" s="141" t="str">
        <f>IFERROR(Y40+'Techno-Economic Assumptions'!$D$30,"")</f>
        <v/>
      </c>
      <c r="AC40" s="136" t="str">
        <f t="shared" si="3"/>
        <v/>
      </c>
      <c r="AD40" s="136" t="str">
        <f t="shared" si="4"/>
        <v/>
      </c>
    </row>
    <row r="41" spans="2:30" x14ac:dyDescent="0.3">
      <c r="B41" s="36"/>
      <c r="C41" s="36"/>
      <c r="D41" s="37"/>
      <c r="E41" s="37"/>
      <c r="F41" s="38"/>
      <c r="G41" s="39"/>
      <c r="H41" s="36"/>
      <c r="I41" s="36"/>
      <c r="J41" s="38"/>
      <c r="K41" s="40"/>
      <c r="L41" s="93" t="str">
        <f t="shared" si="10"/>
        <v/>
      </c>
      <c r="M41" s="93" t="str">
        <f t="shared" si="11"/>
        <v/>
      </c>
      <c r="N41" s="93" t="str">
        <f t="shared" si="12"/>
        <v/>
      </c>
      <c r="O41" s="93" t="str">
        <f t="shared" si="13"/>
        <v/>
      </c>
      <c r="P41" s="94" t="str">
        <f>IF(G41&gt;0,(CEILING(VLOOKUP($H41,'Techno-Economic Assumptions'!$C$5:$I$17,6,FALSE)*$M41,0.5)),"")</f>
        <v/>
      </c>
      <c r="Q41" s="95" t="str">
        <f>IFERROR($P41*'Techno-Economic Assumptions'!$D$22,"")</f>
        <v/>
      </c>
      <c r="R41" s="95" t="str">
        <f>IF(ISNUMBER(P41),'Techno-Economic Assumptions'!$D$24,"")</f>
        <v/>
      </c>
      <c r="S41" s="94" t="str">
        <f>IF(G41&gt;0,(CEILING(VLOOKUP($H41,'Techno-Economic Assumptions'!$C$5:$I$17,7,FALSE)*$M41,5)),"")</f>
        <v/>
      </c>
      <c r="T41" s="38"/>
      <c r="U41" s="140" t="str">
        <f>IFERROR(IF(ISBLANK($T41),$S41,$T41)*'Techno-Economic Assumptions'!$D$25,"")</f>
        <v/>
      </c>
      <c r="V41" s="140" t="str">
        <f t="shared" si="6"/>
        <v/>
      </c>
      <c r="W41" s="140" t="str">
        <f>IFERROR(IF(ISBLANK($T41),$S41,$T41)*'Techno-Economic Assumptions'!$D$26,"")</f>
        <v/>
      </c>
      <c r="X41" s="140" t="str">
        <f t="shared" si="7"/>
        <v/>
      </c>
      <c r="Y41" s="141" t="str">
        <f>_xlfn.IFNA(VLOOKUP(I41,'Techno-Economic Assumptions'!$C$31:$D$34,2,FALSE),"")</f>
        <v/>
      </c>
      <c r="Z41" s="136" t="str">
        <f t="shared" si="9"/>
        <v/>
      </c>
      <c r="AA41" s="136" t="str">
        <f t="shared" si="8"/>
        <v/>
      </c>
      <c r="AB41" s="141" t="str">
        <f>IFERROR(Y41+'Techno-Economic Assumptions'!$D$30,"")</f>
        <v/>
      </c>
      <c r="AC41" s="136" t="str">
        <f t="shared" si="3"/>
        <v/>
      </c>
      <c r="AD41" s="136" t="str">
        <f t="shared" si="4"/>
        <v/>
      </c>
    </row>
    <row r="42" spans="2:30" x14ac:dyDescent="0.3">
      <c r="B42" s="36"/>
      <c r="C42" s="36"/>
      <c r="D42" s="37"/>
      <c r="E42" s="37"/>
      <c r="F42" s="38"/>
      <c r="G42" s="39"/>
      <c r="H42" s="36"/>
      <c r="I42" s="36"/>
      <c r="J42" s="38"/>
      <c r="K42" s="40"/>
      <c r="L42" s="93" t="str">
        <f t="shared" si="10"/>
        <v/>
      </c>
      <c r="M42" s="93" t="str">
        <f t="shared" si="11"/>
        <v/>
      </c>
      <c r="N42" s="93" t="str">
        <f t="shared" si="12"/>
        <v/>
      </c>
      <c r="O42" s="93" t="str">
        <f t="shared" si="13"/>
        <v/>
      </c>
      <c r="P42" s="94" t="str">
        <f>IF(G42&gt;0,(CEILING(VLOOKUP($H42,'Techno-Economic Assumptions'!$C$5:$I$17,6,FALSE)*$M42,0.5)),"")</f>
        <v/>
      </c>
      <c r="Q42" s="95" t="str">
        <f>IFERROR($P42*'Techno-Economic Assumptions'!$D$22,"")</f>
        <v/>
      </c>
      <c r="R42" s="95" t="str">
        <f>IF(ISNUMBER(P42),'Techno-Economic Assumptions'!$D$24,"")</f>
        <v/>
      </c>
      <c r="S42" s="94" t="str">
        <f>IF(G42&gt;0,(CEILING(VLOOKUP($H42,'Techno-Economic Assumptions'!$C$5:$I$17,7,FALSE)*$M42,5)),"")</f>
        <v/>
      </c>
      <c r="T42" s="38"/>
      <c r="U42" s="140" t="str">
        <f>IFERROR(IF(ISBLANK($T42),$S42,$T42)*'Techno-Economic Assumptions'!$D$25,"")</f>
        <v/>
      </c>
      <c r="V42" s="140" t="str">
        <f t="shared" si="6"/>
        <v/>
      </c>
      <c r="W42" s="140" t="str">
        <f>IFERROR(IF(ISBLANK($T42),$S42,$T42)*'Techno-Economic Assumptions'!$D$26,"")</f>
        <v/>
      </c>
      <c r="X42" s="140" t="str">
        <f t="shared" si="7"/>
        <v/>
      </c>
      <c r="Y42" s="141" t="str">
        <f>_xlfn.IFNA(VLOOKUP(I42,'Techno-Economic Assumptions'!$C$31:$D$34,2,FALSE),"")</f>
        <v/>
      </c>
      <c r="Z42" s="136" t="str">
        <f t="shared" si="9"/>
        <v/>
      </c>
      <c r="AA42" s="136" t="str">
        <f t="shared" si="8"/>
        <v/>
      </c>
      <c r="AB42" s="141" t="str">
        <f>IFERROR(Y42+'Techno-Economic Assumptions'!$D$30,"")</f>
        <v/>
      </c>
      <c r="AC42" s="136" t="str">
        <f t="shared" si="3"/>
        <v/>
      </c>
      <c r="AD42" s="136" t="str">
        <f t="shared" si="4"/>
        <v/>
      </c>
    </row>
    <row r="43" spans="2:30" x14ac:dyDescent="0.3">
      <c r="B43" s="36"/>
      <c r="C43" s="36"/>
      <c r="D43" s="37"/>
      <c r="E43" s="37"/>
      <c r="F43" s="38"/>
      <c r="G43" s="41"/>
      <c r="H43" s="36"/>
      <c r="I43" s="36"/>
      <c r="J43" s="38"/>
      <c r="K43" s="40"/>
      <c r="L43" s="93" t="str">
        <f t="shared" si="10"/>
        <v/>
      </c>
      <c r="M43" s="93" t="str">
        <f t="shared" si="11"/>
        <v/>
      </c>
      <c r="N43" s="93" t="str">
        <f t="shared" si="12"/>
        <v/>
      </c>
      <c r="O43" s="93" t="str">
        <f t="shared" si="13"/>
        <v/>
      </c>
      <c r="P43" s="94" t="str">
        <f>IF(G43&gt;0,(CEILING(VLOOKUP($H43,'Techno-Economic Assumptions'!$C$5:$I$17,6,FALSE)*$M43,0.5)),"")</f>
        <v/>
      </c>
      <c r="Q43" s="95" t="str">
        <f>IFERROR($P43*'Techno-Economic Assumptions'!$D$22,"")</f>
        <v/>
      </c>
      <c r="R43" s="95" t="str">
        <f>IF(ISNUMBER(P43),'Techno-Economic Assumptions'!$D$24,"")</f>
        <v/>
      </c>
      <c r="S43" s="94" t="str">
        <f>IF(G43&gt;0,(CEILING(VLOOKUP($H43,'Techno-Economic Assumptions'!$C$5:$I$17,7,FALSE)*$M43,5)),"")</f>
        <v/>
      </c>
      <c r="T43" s="38"/>
      <c r="U43" s="140" t="str">
        <f>IFERROR(IF(ISBLANK($T43),$S43,$T43)*'Techno-Economic Assumptions'!$D$25,"")</f>
        <v/>
      </c>
      <c r="V43" s="140" t="str">
        <f t="shared" si="6"/>
        <v/>
      </c>
      <c r="W43" s="140" t="str">
        <f>IFERROR(IF(ISBLANK($T43),$S43,$T43)*'Techno-Economic Assumptions'!$D$26,"")</f>
        <v/>
      </c>
      <c r="X43" s="140" t="str">
        <f t="shared" si="7"/>
        <v/>
      </c>
      <c r="Y43" s="141" t="str">
        <f>_xlfn.IFNA(VLOOKUP(I43,'Techno-Economic Assumptions'!$C$31:$D$34,2,FALSE),"")</f>
        <v/>
      </c>
      <c r="Z43" s="136" t="str">
        <f t="shared" si="9"/>
        <v/>
      </c>
      <c r="AA43" s="136" t="str">
        <f t="shared" si="8"/>
        <v/>
      </c>
      <c r="AB43" s="141" t="str">
        <f>IFERROR(Y43+'Techno-Economic Assumptions'!$D$30,"")</f>
        <v/>
      </c>
      <c r="AC43" s="136" t="str">
        <f t="shared" si="3"/>
        <v/>
      </c>
      <c r="AD43" s="136" t="str">
        <f t="shared" si="4"/>
        <v/>
      </c>
    </row>
    <row r="44" spans="2:30" x14ac:dyDescent="0.3">
      <c r="B44" s="36"/>
      <c r="C44" s="36"/>
      <c r="D44" s="37"/>
      <c r="E44" s="37"/>
      <c r="F44" s="38"/>
      <c r="G44" s="41"/>
      <c r="H44" s="36"/>
      <c r="I44" s="36"/>
      <c r="J44" s="38"/>
      <c r="K44" s="40"/>
      <c r="L44" s="93" t="str">
        <f t="shared" si="10"/>
        <v/>
      </c>
      <c r="M44" s="93" t="str">
        <f t="shared" si="11"/>
        <v/>
      </c>
      <c r="N44" s="93" t="str">
        <f t="shared" si="12"/>
        <v/>
      </c>
      <c r="O44" s="93" t="str">
        <f t="shared" si="13"/>
        <v/>
      </c>
      <c r="P44" s="94" t="str">
        <f>IF(G44&gt;0,(CEILING(VLOOKUP($H44,'Techno-Economic Assumptions'!$C$5:$I$17,6,FALSE)*$M44,0.5)),"")</f>
        <v/>
      </c>
      <c r="Q44" s="95" t="str">
        <f>IFERROR($P44*'Techno-Economic Assumptions'!$D$22,"")</f>
        <v/>
      </c>
      <c r="R44" s="95" t="str">
        <f>IF(ISNUMBER(P44),'Techno-Economic Assumptions'!$D$24,"")</f>
        <v/>
      </c>
      <c r="S44" s="94" t="str">
        <f>IF(G44&gt;0,(CEILING(VLOOKUP($H44,'Techno-Economic Assumptions'!$C$5:$I$17,7,FALSE)*$M44,5)),"")</f>
        <v/>
      </c>
      <c r="T44" s="38"/>
      <c r="U44" s="140" t="str">
        <f>IFERROR(IF(ISBLANK($T44),$S44,$T44)*'Techno-Economic Assumptions'!$D$25,"")</f>
        <v/>
      </c>
      <c r="V44" s="140" t="str">
        <f t="shared" si="6"/>
        <v/>
      </c>
      <c r="W44" s="140" t="str">
        <f>IFERROR(IF(ISBLANK($T44),$S44,$T44)*'Techno-Economic Assumptions'!$D$26,"")</f>
        <v/>
      </c>
      <c r="X44" s="140" t="str">
        <f t="shared" si="7"/>
        <v/>
      </c>
      <c r="Y44" s="141" t="str">
        <f>_xlfn.IFNA(VLOOKUP(I44,'Techno-Economic Assumptions'!$C$31:$D$34,2,FALSE),"")</f>
        <v/>
      </c>
      <c r="Z44" s="136" t="str">
        <f t="shared" si="9"/>
        <v/>
      </c>
      <c r="AA44" s="136" t="str">
        <f t="shared" si="8"/>
        <v/>
      </c>
      <c r="AB44" s="141" t="str">
        <f>IFERROR(Y44+'Techno-Economic Assumptions'!$D$30,"")</f>
        <v/>
      </c>
      <c r="AC44" s="136" t="str">
        <f t="shared" si="3"/>
        <v/>
      </c>
      <c r="AD44" s="136" t="str">
        <f t="shared" si="4"/>
        <v/>
      </c>
    </row>
    <row r="45" spans="2:30" x14ac:dyDescent="0.3">
      <c r="B45" s="36"/>
      <c r="C45" s="36"/>
      <c r="D45" s="37"/>
      <c r="E45" s="37"/>
      <c r="F45" s="38"/>
      <c r="G45" s="41"/>
      <c r="H45" s="36"/>
      <c r="I45" s="36"/>
      <c r="J45" s="38"/>
      <c r="K45" s="40"/>
      <c r="L45" s="93" t="str">
        <f t="shared" si="10"/>
        <v/>
      </c>
      <c r="M45" s="93" t="str">
        <f t="shared" si="11"/>
        <v/>
      </c>
      <c r="N45" s="93" t="str">
        <f t="shared" si="12"/>
        <v/>
      </c>
      <c r="O45" s="93" t="str">
        <f t="shared" si="13"/>
        <v/>
      </c>
      <c r="P45" s="94" t="str">
        <f>IF(G45&gt;0,(CEILING(VLOOKUP($H45,'Techno-Economic Assumptions'!$C$5:$I$17,6,FALSE)*$M45,0.5)),"")</f>
        <v/>
      </c>
      <c r="Q45" s="95" t="str">
        <f>IFERROR($P45*'Techno-Economic Assumptions'!$D$22,"")</f>
        <v/>
      </c>
      <c r="R45" s="95" t="str">
        <f>IF(ISNUMBER(P45),'Techno-Economic Assumptions'!$D$24,"")</f>
        <v/>
      </c>
      <c r="S45" s="94" t="str">
        <f>IF(G45&gt;0,(CEILING(VLOOKUP($H45,'Techno-Economic Assumptions'!$C$5:$I$17,7,FALSE)*$M45,5)),"")</f>
        <v/>
      </c>
      <c r="T45" s="38"/>
      <c r="U45" s="140" t="str">
        <f>IFERROR(IF(ISBLANK($T45),$S45,$T45)*'Techno-Economic Assumptions'!$D$25,"")</f>
        <v/>
      </c>
      <c r="V45" s="140" t="str">
        <f t="shared" si="6"/>
        <v/>
      </c>
      <c r="W45" s="140" t="str">
        <f>IFERROR(IF(ISBLANK($T45),$S45,$T45)*'Techno-Economic Assumptions'!$D$26,"")</f>
        <v/>
      </c>
      <c r="X45" s="140" t="str">
        <f t="shared" si="7"/>
        <v/>
      </c>
      <c r="Y45" s="141" t="str">
        <f>_xlfn.IFNA(VLOOKUP(I45,'Techno-Economic Assumptions'!$C$31:$D$34,2,FALSE),"")</f>
        <v/>
      </c>
      <c r="Z45" s="136" t="str">
        <f t="shared" si="9"/>
        <v/>
      </c>
      <c r="AA45" s="136" t="str">
        <f t="shared" si="8"/>
        <v/>
      </c>
      <c r="AB45" s="141" t="str">
        <f>IFERROR(Y45+'Techno-Economic Assumptions'!$D$30,"")</f>
        <v/>
      </c>
      <c r="AC45" s="136" t="str">
        <f t="shared" si="3"/>
        <v/>
      </c>
      <c r="AD45" s="136" t="str">
        <f t="shared" si="4"/>
        <v/>
      </c>
    </row>
    <row r="46" spans="2:30" x14ac:dyDescent="0.3">
      <c r="B46" s="36"/>
      <c r="C46" s="36"/>
      <c r="D46" s="37"/>
      <c r="E46" s="37"/>
      <c r="F46" s="38"/>
      <c r="G46" s="41"/>
      <c r="H46" s="36"/>
      <c r="I46" s="36"/>
      <c r="J46" s="38"/>
      <c r="K46" s="40"/>
      <c r="L46" s="93" t="str">
        <f t="shared" si="10"/>
        <v/>
      </c>
      <c r="M46" s="93" t="str">
        <f t="shared" si="11"/>
        <v/>
      </c>
      <c r="N46" s="93" t="str">
        <f t="shared" si="12"/>
        <v/>
      </c>
      <c r="O46" s="93" t="str">
        <f t="shared" si="13"/>
        <v/>
      </c>
      <c r="P46" s="94" t="str">
        <f>IF(G46&gt;0,(CEILING(VLOOKUP($H46,'Techno-Economic Assumptions'!$C$5:$I$17,6,FALSE)*$M46,0.5)),"")</f>
        <v/>
      </c>
      <c r="Q46" s="95" t="str">
        <f>IFERROR($P46*'Techno-Economic Assumptions'!$D$22,"")</f>
        <v/>
      </c>
      <c r="R46" s="95" t="str">
        <f>IF(ISNUMBER(P46),'Techno-Economic Assumptions'!$D$24,"")</f>
        <v/>
      </c>
      <c r="S46" s="94" t="str">
        <f>IF(G46&gt;0,(CEILING(VLOOKUP($H46,'Techno-Economic Assumptions'!$C$5:$I$17,7,FALSE)*$M46,5)),"")</f>
        <v/>
      </c>
      <c r="T46" s="38"/>
      <c r="U46" s="140" t="str">
        <f>IFERROR(IF(ISBLANK($T46),$S46,$T46)*'Techno-Economic Assumptions'!$D$25,"")</f>
        <v/>
      </c>
      <c r="V46" s="140" t="str">
        <f t="shared" si="6"/>
        <v/>
      </c>
      <c r="W46" s="140" t="str">
        <f>IFERROR(IF(ISBLANK($T46),$S46,$T46)*'Techno-Economic Assumptions'!$D$26,"")</f>
        <v/>
      </c>
      <c r="X46" s="140" t="str">
        <f t="shared" si="7"/>
        <v/>
      </c>
      <c r="Y46" s="141" t="str">
        <f>_xlfn.IFNA(VLOOKUP(I46,'Techno-Economic Assumptions'!$C$31:$D$34,2,FALSE),"")</f>
        <v/>
      </c>
      <c r="Z46" s="136" t="str">
        <f t="shared" si="9"/>
        <v/>
      </c>
      <c r="AA46" s="136" t="str">
        <f t="shared" si="8"/>
        <v/>
      </c>
      <c r="AB46" s="141" t="str">
        <f>IFERROR(Y46+'Techno-Economic Assumptions'!$D$30,"")</f>
        <v/>
      </c>
      <c r="AC46" s="136" t="str">
        <f t="shared" si="3"/>
        <v/>
      </c>
      <c r="AD46" s="136" t="str">
        <f t="shared" si="4"/>
        <v/>
      </c>
    </row>
    <row r="47" spans="2:30" x14ac:dyDescent="0.3">
      <c r="B47" s="36"/>
      <c r="C47" s="36"/>
      <c r="D47" s="37"/>
      <c r="E47" s="37"/>
      <c r="F47" s="38"/>
      <c r="G47" s="41"/>
      <c r="H47" s="36"/>
      <c r="I47" s="36"/>
      <c r="J47" s="38"/>
      <c r="K47" s="40"/>
      <c r="L47" s="93" t="str">
        <f t="shared" si="10"/>
        <v/>
      </c>
      <c r="M47" s="93" t="str">
        <f t="shared" si="11"/>
        <v/>
      </c>
      <c r="N47" s="93" t="str">
        <f t="shared" si="12"/>
        <v/>
      </c>
      <c r="O47" s="93" t="str">
        <f t="shared" si="13"/>
        <v/>
      </c>
      <c r="P47" s="94" t="str">
        <f>IF(G47&gt;0,(CEILING(VLOOKUP($H47,'Techno-Economic Assumptions'!$C$5:$I$17,6,FALSE)*$M47,0.5)),"")</f>
        <v/>
      </c>
      <c r="Q47" s="95" t="str">
        <f>IFERROR($P47*'Techno-Economic Assumptions'!$D$22,"")</f>
        <v/>
      </c>
      <c r="R47" s="95" t="str">
        <f>IF(ISNUMBER(P47),'Techno-Economic Assumptions'!$D$24,"")</f>
        <v/>
      </c>
      <c r="S47" s="94" t="str">
        <f>IF(G47&gt;0,(CEILING(VLOOKUP($H47,'Techno-Economic Assumptions'!$C$5:$I$17,7,FALSE)*$M47,5)),"")</f>
        <v/>
      </c>
      <c r="T47" s="38"/>
      <c r="U47" s="140" t="str">
        <f>IFERROR(IF(ISBLANK($T47),$S47,$T47)*'Techno-Economic Assumptions'!$D$25,"")</f>
        <v/>
      </c>
      <c r="V47" s="140" t="str">
        <f t="shared" si="6"/>
        <v/>
      </c>
      <c r="W47" s="140" t="str">
        <f>IFERROR(IF(ISBLANK($T47),$S47,$T47)*'Techno-Economic Assumptions'!$D$26,"")</f>
        <v/>
      </c>
      <c r="X47" s="140" t="str">
        <f t="shared" si="7"/>
        <v/>
      </c>
      <c r="Y47" s="141" t="str">
        <f>_xlfn.IFNA(VLOOKUP(I47,'Techno-Economic Assumptions'!$C$31:$D$34,2,FALSE),"")</f>
        <v/>
      </c>
      <c r="Z47" s="136" t="str">
        <f t="shared" si="9"/>
        <v/>
      </c>
      <c r="AA47" s="136" t="str">
        <f t="shared" si="8"/>
        <v/>
      </c>
      <c r="AB47" s="141" t="str">
        <f>IFERROR(Y47+'Techno-Economic Assumptions'!$D$30,"")</f>
        <v/>
      </c>
      <c r="AC47" s="136" t="str">
        <f t="shared" si="3"/>
        <v/>
      </c>
      <c r="AD47" s="136" t="str">
        <f t="shared" si="4"/>
        <v/>
      </c>
    </row>
    <row r="48" spans="2:30" x14ac:dyDescent="0.3">
      <c r="B48" s="36"/>
      <c r="C48" s="36"/>
      <c r="D48" s="37"/>
      <c r="E48" s="37"/>
      <c r="F48" s="38"/>
      <c r="G48" s="41"/>
      <c r="H48" s="36"/>
      <c r="I48" s="36"/>
      <c r="J48" s="38"/>
      <c r="K48" s="40"/>
      <c r="L48" s="93" t="str">
        <f t="shared" si="10"/>
        <v/>
      </c>
      <c r="M48" s="93" t="str">
        <f t="shared" si="11"/>
        <v/>
      </c>
      <c r="N48" s="93" t="str">
        <f t="shared" si="12"/>
        <v/>
      </c>
      <c r="O48" s="93" t="str">
        <f t="shared" si="13"/>
        <v/>
      </c>
      <c r="P48" s="94" t="str">
        <f>IF(G48&gt;0,(CEILING(VLOOKUP($H48,'Techno-Economic Assumptions'!$C$5:$I$17,6,FALSE)*$M48,0.5)),"")</f>
        <v/>
      </c>
      <c r="Q48" s="95" t="str">
        <f>IFERROR($P48*'Techno-Economic Assumptions'!$D$22,"")</f>
        <v/>
      </c>
      <c r="R48" s="95" t="str">
        <f>IF(ISNUMBER(P48),'Techno-Economic Assumptions'!$D$24,"")</f>
        <v/>
      </c>
      <c r="S48" s="94" t="str">
        <f>IF(G48&gt;0,(CEILING(VLOOKUP($H48,'Techno-Economic Assumptions'!$C$5:$I$17,7,FALSE)*$M48,5)),"")</f>
        <v/>
      </c>
      <c r="T48" s="38"/>
      <c r="U48" s="140" t="str">
        <f>IFERROR(IF(ISBLANK($T48),$S48,$T48)*'Techno-Economic Assumptions'!$D$25,"")</f>
        <v/>
      </c>
      <c r="V48" s="140" t="str">
        <f t="shared" si="6"/>
        <v/>
      </c>
      <c r="W48" s="140" t="str">
        <f>IFERROR(IF(ISBLANK($T48),$S48,$T48)*'Techno-Economic Assumptions'!$D$26,"")</f>
        <v/>
      </c>
      <c r="X48" s="140" t="str">
        <f t="shared" si="7"/>
        <v/>
      </c>
      <c r="Y48" s="141" t="str">
        <f>_xlfn.IFNA(VLOOKUP(I48,'Techno-Economic Assumptions'!$C$31:$D$34,2,FALSE),"")</f>
        <v/>
      </c>
      <c r="Z48" s="136" t="str">
        <f t="shared" si="9"/>
        <v/>
      </c>
      <c r="AA48" s="136" t="str">
        <f t="shared" si="8"/>
        <v/>
      </c>
      <c r="AB48" s="141" t="str">
        <f>IFERROR(Y48+'Techno-Economic Assumptions'!$D$30,"")</f>
        <v/>
      </c>
      <c r="AC48" s="136" t="str">
        <f t="shared" si="3"/>
        <v/>
      </c>
      <c r="AD48" s="136" t="str">
        <f t="shared" si="4"/>
        <v/>
      </c>
    </row>
    <row r="49" spans="2:30" x14ac:dyDescent="0.3">
      <c r="B49" s="36"/>
      <c r="C49" s="36"/>
      <c r="D49" s="37"/>
      <c r="E49" s="37"/>
      <c r="F49" s="38"/>
      <c r="G49" s="41"/>
      <c r="H49" s="36"/>
      <c r="I49" s="36"/>
      <c r="J49" s="38"/>
      <c r="K49" s="40"/>
      <c r="L49" s="93" t="str">
        <f t="shared" si="10"/>
        <v/>
      </c>
      <c r="M49" s="93" t="str">
        <f t="shared" si="11"/>
        <v/>
      </c>
      <c r="N49" s="93" t="str">
        <f t="shared" si="12"/>
        <v/>
      </c>
      <c r="O49" s="93" t="str">
        <f t="shared" si="13"/>
        <v/>
      </c>
      <c r="P49" s="94" t="str">
        <f>IF(G49&gt;0,(CEILING(VLOOKUP($H49,'Techno-Economic Assumptions'!$C$5:$I$17,6,FALSE)*$M49,0.5)),"")</f>
        <v/>
      </c>
      <c r="Q49" s="95" t="str">
        <f>IFERROR($P49*'Techno-Economic Assumptions'!$D$22,"")</f>
        <v/>
      </c>
      <c r="R49" s="95" t="str">
        <f>IF(ISNUMBER(P49),'Techno-Economic Assumptions'!$D$24,"")</f>
        <v/>
      </c>
      <c r="S49" s="94" t="str">
        <f>IF(G49&gt;0,(CEILING(VLOOKUP($H49,'Techno-Economic Assumptions'!$C$5:$I$17,7,FALSE)*$M49,5)),"")</f>
        <v/>
      </c>
      <c r="T49" s="38"/>
      <c r="U49" s="140" t="str">
        <f>IFERROR(IF(ISBLANK($T49),$S49,$T49)*'Techno-Economic Assumptions'!$D$25,"")</f>
        <v/>
      </c>
      <c r="V49" s="140" t="str">
        <f t="shared" si="6"/>
        <v/>
      </c>
      <c r="W49" s="140" t="str">
        <f>IFERROR(IF(ISBLANK($T49),$S49,$T49)*'Techno-Economic Assumptions'!$D$26,"")</f>
        <v/>
      </c>
      <c r="X49" s="140" t="str">
        <f t="shared" si="7"/>
        <v/>
      </c>
      <c r="Y49" s="141" t="str">
        <f>_xlfn.IFNA(VLOOKUP(I49,'Techno-Economic Assumptions'!$C$31:$D$34,2,FALSE),"")</f>
        <v/>
      </c>
      <c r="Z49" s="136" t="str">
        <f t="shared" si="9"/>
        <v/>
      </c>
      <c r="AA49" s="136" t="str">
        <f t="shared" si="8"/>
        <v/>
      </c>
      <c r="AB49" s="141" t="str">
        <f>IFERROR(Y49+'Techno-Economic Assumptions'!$D$30,"")</f>
        <v/>
      </c>
      <c r="AC49" s="136" t="str">
        <f t="shared" si="3"/>
        <v/>
      </c>
      <c r="AD49" s="136" t="str">
        <f t="shared" si="4"/>
        <v/>
      </c>
    </row>
    <row r="50" spans="2:30" x14ac:dyDescent="0.3">
      <c r="B50" s="36"/>
      <c r="C50" s="36"/>
      <c r="D50" s="37"/>
      <c r="E50" s="37"/>
      <c r="F50" s="38"/>
      <c r="G50" s="41"/>
      <c r="H50" s="36"/>
      <c r="I50" s="36"/>
      <c r="J50" s="38"/>
      <c r="K50" s="40"/>
      <c r="L50" s="93" t="str">
        <f t="shared" si="10"/>
        <v/>
      </c>
      <c r="M50" s="93" t="str">
        <f t="shared" si="11"/>
        <v/>
      </c>
      <c r="N50" s="93" t="str">
        <f t="shared" si="12"/>
        <v/>
      </c>
      <c r="O50" s="93" t="str">
        <f t="shared" si="13"/>
        <v/>
      </c>
      <c r="P50" s="94" t="str">
        <f>IF(G50&gt;0,(CEILING(VLOOKUP($H50,'Techno-Economic Assumptions'!$C$5:$I$17,6,FALSE)*$M50,0.5)),"")</f>
        <v/>
      </c>
      <c r="Q50" s="95" t="str">
        <f>IFERROR($P50*'Techno-Economic Assumptions'!$D$22,"")</f>
        <v/>
      </c>
      <c r="R50" s="95" t="str">
        <f>IF(ISNUMBER(P50),'Techno-Economic Assumptions'!$D$24,"")</f>
        <v/>
      </c>
      <c r="S50" s="94" t="str">
        <f>IF(G50&gt;0,(CEILING(VLOOKUP($H50,'Techno-Economic Assumptions'!$C$5:$I$17,7,FALSE)*$M50,5)),"")</f>
        <v/>
      </c>
      <c r="T50" s="38"/>
      <c r="U50" s="140" t="str">
        <f>IFERROR(IF(ISBLANK($T50),$S50,$T50)*'Techno-Economic Assumptions'!$D$25,"")</f>
        <v/>
      </c>
      <c r="V50" s="140" t="str">
        <f t="shared" si="6"/>
        <v/>
      </c>
      <c r="W50" s="140" t="str">
        <f>IFERROR(IF(ISBLANK($T50),$S50,$T50)*'Techno-Economic Assumptions'!$D$26,"")</f>
        <v/>
      </c>
      <c r="X50" s="140" t="str">
        <f t="shared" si="7"/>
        <v/>
      </c>
      <c r="Y50" s="141" t="str">
        <f>_xlfn.IFNA(VLOOKUP(I50,'Techno-Economic Assumptions'!$C$31:$D$34,2,FALSE),"")</f>
        <v/>
      </c>
      <c r="Z50" s="136" t="str">
        <f t="shared" si="9"/>
        <v/>
      </c>
      <c r="AA50" s="136" t="str">
        <f t="shared" si="8"/>
        <v/>
      </c>
      <c r="AB50" s="141" t="str">
        <f>IFERROR(Y50+'Techno-Economic Assumptions'!$D$30,"")</f>
        <v/>
      </c>
      <c r="AC50" s="136" t="str">
        <f t="shared" si="3"/>
        <v/>
      </c>
      <c r="AD50" s="136" t="str">
        <f t="shared" si="4"/>
        <v/>
      </c>
    </row>
    <row r="51" spans="2:30" x14ac:dyDescent="0.3">
      <c r="B51" s="36"/>
      <c r="C51" s="36"/>
      <c r="D51" s="37"/>
      <c r="E51" s="37"/>
      <c r="F51" s="38"/>
      <c r="G51" s="41"/>
      <c r="H51" s="36"/>
      <c r="I51" s="36"/>
      <c r="J51" s="38"/>
      <c r="K51" s="40"/>
      <c r="L51" s="93" t="str">
        <f t="shared" si="10"/>
        <v/>
      </c>
      <c r="M51" s="93" t="str">
        <f t="shared" si="11"/>
        <v/>
      </c>
      <c r="N51" s="93" t="str">
        <f t="shared" si="12"/>
        <v/>
      </c>
      <c r="O51" s="93" t="str">
        <f t="shared" si="13"/>
        <v/>
      </c>
      <c r="P51" s="94" t="str">
        <f>IF(G51&gt;0,(CEILING(VLOOKUP($H51,'Techno-Economic Assumptions'!$C$5:$I$17,6,FALSE)*$M51,0.5)),"")</f>
        <v/>
      </c>
      <c r="Q51" s="95" t="str">
        <f>IFERROR($P51*'Techno-Economic Assumptions'!$D$22,"")</f>
        <v/>
      </c>
      <c r="R51" s="95" t="str">
        <f>IF(ISNUMBER(P51),'Techno-Economic Assumptions'!$D$24,"")</f>
        <v/>
      </c>
      <c r="S51" s="94" t="str">
        <f>IF(G51&gt;0,(CEILING(VLOOKUP($H51,'Techno-Economic Assumptions'!$C$5:$I$17,7,FALSE)*$M51,5)),"")</f>
        <v/>
      </c>
      <c r="T51" s="38"/>
      <c r="U51" s="140" t="str">
        <f>IFERROR(IF(ISBLANK($T51),$S51,$T51)*'Techno-Economic Assumptions'!$D$25,"")</f>
        <v/>
      </c>
      <c r="V51" s="140" t="str">
        <f t="shared" si="6"/>
        <v/>
      </c>
      <c r="W51" s="140" t="str">
        <f>IFERROR(IF(ISBLANK($T51),$S51,$T51)*'Techno-Economic Assumptions'!$D$26,"")</f>
        <v/>
      </c>
      <c r="X51" s="140" t="str">
        <f t="shared" si="7"/>
        <v/>
      </c>
      <c r="Y51" s="141" t="str">
        <f>_xlfn.IFNA(VLOOKUP(I51,'Techno-Economic Assumptions'!$C$31:$D$34,2,FALSE),"")</f>
        <v/>
      </c>
      <c r="Z51" s="136" t="str">
        <f t="shared" si="9"/>
        <v/>
      </c>
      <c r="AA51" s="136" t="str">
        <f t="shared" si="8"/>
        <v/>
      </c>
      <c r="AB51" s="141" t="str">
        <f>IFERROR(Y51+'Techno-Economic Assumptions'!$D$30,"")</f>
        <v/>
      </c>
      <c r="AC51" s="136" t="str">
        <f t="shared" si="3"/>
        <v/>
      </c>
      <c r="AD51" s="136" t="str">
        <f t="shared" si="4"/>
        <v/>
      </c>
    </row>
    <row r="52" spans="2:30" x14ac:dyDescent="0.3">
      <c r="B52" s="36"/>
      <c r="C52" s="36"/>
      <c r="D52" s="37"/>
      <c r="E52" s="37"/>
      <c r="F52" s="38"/>
      <c r="G52" s="41"/>
      <c r="H52" s="36"/>
      <c r="I52" s="36"/>
      <c r="J52" s="38"/>
      <c r="K52" s="40"/>
      <c r="L52" s="93" t="str">
        <f t="shared" si="10"/>
        <v/>
      </c>
      <c r="M52" s="93" t="str">
        <f t="shared" si="11"/>
        <v/>
      </c>
      <c r="N52" s="93" t="str">
        <f t="shared" si="12"/>
        <v/>
      </c>
      <c r="O52" s="93" t="str">
        <f t="shared" si="13"/>
        <v/>
      </c>
      <c r="P52" s="94" t="str">
        <f>IF(G52&gt;0,(CEILING(VLOOKUP($H52,'Techno-Economic Assumptions'!$C$5:$I$17,6,FALSE)*$M52,0.5)),"")</f>
        <v/>
      </c>
      <c r="Q52" s="95" t="str">
        <f>IFERROR($P52*'Techno-Economic Assumptions'!$D$22,"")</f>
        <v/>
      </c>
      <c r="R52" s="95" t="str">
        <f>IF(ISNUMBER(P52),'Techno-Economic Assumptions'!$D$24,"")</f>
        <v/>
      </c>
      <c r="S52" s="94" t="str">
        <f>IF(G52&gt;0,(CEILING(VLOOKUP($H52,'Techno-Economic Assumptions'!$C$5:$I$17,7,FALSE)*$M52,5)),"")</f>
        <v/>
      </c>
      <c r="T52" s="38"/>
      <c r="U52" s="140" t="str">
        <f>IFERROR(IF(ISBLANK($T52),$S52,$T52)*'Techno-Economic Assumptions'!$D$25,"")</f>
        <v/>
      </c>
      <c r="V52" s="140" t="str">
        <f t="shared" si="6"/>
        <v/>
      </c>
      <c r="W52" s="140" t="str">
        <f>IFERROR(IF(ISBLANK($T52),$S52,$T52)*'Techno-Economic Assumptions'!$D$26,"")</f>
        <v/>
      </c>
      <c r="X52" s="140" t="str">
        <f t="shared" si="7"/>
        <v/>
      </c>
      <c r="Y52" s="141" t="str">
        <f>_xlfn.IFNA(VLOOKUP(I52,'Techno-Economic Assumptions'!$C$31:$D$34,2,FALSE),"")</f>
        <v/>
      </c>
      <c r="Z52" s="136" t="str">
        <f t="shared" si="9"/>
        <v/>
      </c>
      <c r="AA52" s="136" t="str">
        <f t="shared" si="8"/>
        <v/>
      </c>
      <c r="AB52" s="141" t="str">
        <f>IFERROR(Y52+'Techno-Economic Assumptions'!$D$30,"")</f>
        <v/>
      </c>
      <c r="AC52" s="136" t="str">
        <f t="shared" si="3"/>
        <v/>
      </c>
      <c r="AD52" s="136" t="str">
        <f t="shared" si="4"/>
        <v/>
      </c>
    </row>
    <row r="53" spans="2:30" x14ac:dyDescent="0.3">
      <c r="B53" s="36"/>
      <c r="C53" s="36"/>
      <c r="D53" s="37"/>
      <c r="E53" s="37"/>
      <c r="F53" s="38"/>
      <c r="G53" s="41"/>
      <c r="H53" s="36"/>
      <c r="I53" s="36"/>
      <c r="J53" s="38"/>
      <c r="K53" s="40"/>
      <c r="L53" s="93" t="str">
        <f t="shared" si="10"/>
        <v/>
      </c>
      <c r="M53" s="93" t="str">
        <f t="shared" si="11"/>
        <v/>
      </c>
      <c r="N53" s="93" t="str">
        <f t="shared" si="12"/>
        <v/>
      </c>
      <c r="O53" s="93" t="str">
        <f t="shared" si="13"/>
        <v/>
      </c>
      <c r="P53" s="94" t="str">
        <f>IF(G53&gt;0,(CEILING(VLOOKUP($H53,'Techno-Economic Assumptions'!$C$5:$I$17,6,FALSE)*$M53,0.5)),"")</f>
        <v/>
      </c>
      <c r="Q53" s="95" t="str">
        <f>IFERROR($P53*'Techno-Economic Assumptions'!$D$22,"")</f>
        <v/>
      </c>
      <c r="R53" s="95" t="str">
        <f>IF(ISNUMBER(P53),'Techno-Economic Assumptions'!$D$24,"")</f>
        <v/>
      </c>
      <c r="S53" s="94" t="str">
        <f>IF(G53&gt;0,(CEILING(VLOOKUP($H53,'Techno-Economic Assumptions'!$C$5:$I$17,7,FALSE)*$M53,5)),"")</f>
        <v/>
      </c>
      <c r="T53" s="38"/>
      <c r="U53" s="140" t="str">
        <f>IFERROR(IF(ISBLANK($T53),$S53,$T53)*'Techno-Economic Assumptions'!$D$25,"")</f>
        <v/>
      </c>
      <c r="V53" s="140" t="str">
        <f t="shared" si="6"/>
        <v/>
      </c>
      <c r="W53" s="140" t="str">
        <f>IFERROR(IF(ISBLANK($T53),$S53,$T53)*'Techno-Economic Assumptions'!$D$26,"")</f>
        <v/>
      </c>
      <c r="X53" s="140" t="str">
        <f t="shared" si="7"/>
        <v/>
      </c>
      <c r="Y53" s="141" t="str">
        <f>_xlfn.IFNA(VLOOKUP(I53,'Techno-Economic Assumptions'!$C$31:$D$34,2,FALSE),"")</f>
        <v/>
      </c>
      <c r="Z53" s="136" t="str">
        <f t="shared" si="9"/>
        <v/>
      </c>
      <c r="AA53" s="136" t="str">
        <f t="shared" si="8"/>
        <v/>
      </c>
      <c r="AB53" s="141" t="str">
        <f>IFERROR(Y53+'Techno-Economic Assumptions'!$D$30,"")</f>
        <v/>
      </c>
      <c r="AC53" s="136" t="str">
        <f t="shared" si="3"/>
        <v/>
      </c>
      <c r="AD53" s="136" t="str">
        <f t="shared" si="4"/>
        <v/>
      </c>
    </row>
    <row r="54" spans="2:30" x14ac:dyDescent="0.3">
      <c r="B54" s="36"/>
      <c r="C54" s="36"/>
      <c r="D54" s="37"/>
      <c r="E54" s="37"/>
      <c r="F54" s="38"/>
      <c r="G54" s="41"/>
      <c r="H54" s="36"/>
      <c r="I54" s="36"/>
      <c r="J54" s="38"/>
      <c r="K54" s="40"/>
      <c r="L54" s="93" t="str">
        <f t="shared" si="10"/>
        <v/>
      </c>
      <c r="M54" s="93" t="str">
        <f t="shared" si="11"/>
        <v/>
      </c>
      <c r="N54" s="93" t="str">
        <f t="shared" si="12"/>
        <v/>
      </c>
      <c r="O54" s="93" t="str">
        <f t="shared" si="13"/>
        <v/>
      </c>
      <c r="P54" s="94" t="str">
        <f>IF(G54&gt;0,(CEILING(VLOOKUP($H54,'Techno-Economic Assumptions'!$C$5:$I$17,6,FALSE)*$M54,0.5)),"")</f>
        <v/>
      </c>
      <c r="Q54" s="95" t="str">
        <f>IFERROR($P54*'Techno-Economic Assumptions'!$D$22,"")</f>
        <v/>
      </c>
      <c r="R54" s="95" t="str">
        <f>IF(ISNUMBER(P54),'Techno-Economic Assumptions'!$D$24,"")</f>
        <v/>
      </c>
      <c r="S54" s="94" t="str">
        <f>IF(G54&gt;0,(CEILING(VLOOKUP($H54,'Techno-Economic Assumptions'!$C$5:$I$17,7,FALSE)*$M54,5)),"")</f>
        <v/>
      </c>
      <c r="T54" s="38"/>
      <c r="U54" s="140" t="str">
        <f>IFERROR(IF(ISBLANK($T54),$S54,$T54)*'Techno-Economic Assumptions'!$D$25,"")</f>
        <v/>
      </c>
      <c r="V54" s="140" t="str">
        <f t="shared" si="6"/>
        <v/>
      </c>
      <c r="W54" s="140" t="str">
        <f>IFERROR(IF(ISBLANK($T54),$S54,$T54)*'Techno-Economic Assumptions'!$D$26,"")</f>
        <v/>
      </c>
      <c r="X54" s="140" t="str">
        <f t="shared" si="7"/>
        <v/>
      </c>
      <c r="Y54" s="141" t="str">
        <f>_xlfn.IFNA(VLOOKUP(I54,'Techno-Economic Assumptions'!$C$31:$D$34,2,FALSE),"")</f>
        <v/>
      </c>
      <c r="Z54" s="136" t="str">
        <f t="shared" si="9"/>
        <v/>
      </c>
      <c r="AA54" s="136" t="str">
        <f t="shared" si="8"/>
        <v/>
      </c>
      <c r="AB54" s="141" t="str">
        <f>IFERROR(Y54+'Techno-Economic Assumptions'!$D$30,"")</f>
        <v/>
      </c>
      <c r="AC54" s="136" t="str">
        <f t="shared" si="3"/>
        <v/>
      </c>
      <c r="AD54" s="136" t="str">
        <f t="shared" si="4"/>
        <v/>
      </c>
    </row>
    <row r="55" spans="2:30" x14ac:dyDescent="0.3">
      <c r="B55" s="36"/>
      <c r="C55" s="36"/>
      <c r="D55" s="37"/>
      <c r="E55" s="37"/>
      <c r="F55" s="38"/>
      <c r="G55" s="41"/>
      <c r="H55" s="36"/>
      <c r="I55" s="36"/>
      <c r="J55" s="38"/>
      <c r="K55" s="40"/>
      <c r="L55" s="93" t="str">
        <f t="shared" si="10"/>
        <v/>
      </c>
      <c r="M55" s="93" t="str">
        <f t="shared" si="11"/>
        <v/>
      </c>
      <c r="N55" s="93" t="str">
        <f t="shared" si="12"/>
        <v/>
      </c>
      <c r="O55" s="93" t="str">
        <f t="shared" si="13"/>
        <v/>
      </c>
      <c r="P55" s="94" t="str">
        <f>IF(G55&gt;0,(CEILING(VLOOKUP($H55,'Techno-Economic Assumptions'!$C$5:$I$17,6,FALSE)*$M55,0.5)),"")</f>
        <v/>
      </c>
      <c r="Q55" s="95" t="str">
        <f>IFERROR($P55*'Techno-Economic Assumptions'!$D$22,"")</f>
        <v/>
      </c>
      <c r="R55" s="95" t="str">
        <f>IF(ISNUMBER(P55),'Techno-Economic Assumptions'!$D$24,"")</f>
        <v/>
      </c>
      <c r="S55" s="94" t="str">
        <f>IF(G55&gt;0,(CEILING(VLOOKUP($H55,'Techno-Economic Assumptions'!$C$5:$I$17,7,FALSE)*$M55,5)),"")</f>
        <v/>
      </c>
      <c r="T55" s="38"/>
      <c r="U55" s="140" t="str">
        <f>IFERROR(IF(ISBLANK($T55),$S55,$T55)*'Techno-Economic Assumptions'!$D$25,"")</f>
        <v/>
      </c>
      <c r="V55" s="140" t="str">
        <f t="shared" si="6"/>
        <v/>
      </c>
      <c r="W55" s="140" t="str">
        <f>IFERROR(IF(ISBLANK($T55),$S55,$T55)*'Techno-Economic Assumptions'!$D$26,"")</f>
        <v/>
      </c>
      <c r="X55" s="140" t="str">
        <f t="shared" si="7"/>
        <v/>
      </c>
      <c r="Y55" s="141" t="str">
        <f>_xlfn.IFNA(VLOOKUP(I55,'Techno-Economic Assumptions'!$C$31:$D$34,2,FALSE),"")</f>
        <v/>
      </c>
      <c r="Z55" s="136" t="str">
        <f t="shared" si="9"/>
        <v/>
      </c>
      <c r="AA55" s="136" t="str">
        <f t="shared" si="8"/>
        <v/>
      </c>
      <c r="AB55" s="141" t="str">
        <f>IFERROR(Y55+'Techno-Economic Assumptions'!$D$30,"")</f>
        <v/>
      </c>
      <c r="AC55" s="136" t="str">
        <f t="shared" si="3"/>
        <v/>
      </c>
      <c r="AD55" s="136" t="str">
        <f t="shared" si="4"/>
        <v/>
      </c>
    </row>
    <row r="56" spans="2:30" x14ac:dyDescent="0.3">
      <c r="B56" s="36"/>
      <c r="C56" s="36"/>
      <c r="D56" s="37"/>
      <c r="E56" s="37"/>
      <c r="F56" s="38"/>
      <c r="G56" s="41"/>
      <c r="H56" s="36"/>
      <c r="I56" s="36"/>
      <c r="J56" s="38"/>
      <c r="K56" s="40"/>
      <c r="L56" s="93" t="str">
        <f t="shared" si="10"/>
        <v/>
      </c>
      <c r="M56" s="93" t="str">
        <f t="shared" si="11"/>
        <v/>
      </c>
      <c r="N56" s="93" t="str">
        <f t="shared" si="12"/>
        <v/>
      </c>
      <c r="O56" s="93" t="str">
        <f t="shared" si="13"/>
        <v/>
      </c>
      <c r="P56" s="94" t="str">
        <f>IF(G56&gt;0,(CEILING(VLOOKUP($H56,'Techno-Economic Assumptions'!$C$5:$I$17,6,FALSE)*$M56,0.5)),"")</f>
        <v/>
      </c>
      <c r="Q56" s="95" t="str">
        <f>IFERROR($P56*'Techno-Economic Assumptions'!$D$22,"")</f>
        <v/>
      </c>
      <c r="R56" s="95" t="str">
        <f>IF(ISNUMBER(P56),'Techno-Economic Assumptions'!$D$24,"")</f>
        <v/>
      </c>
      <c r="S56" s="94" t="str">
        <f>IF(G56&gt;0,(CEILING(VLOOKUP($H56,'Techno-Economic Assumptions'!$C$5:$I$17,7,FALSE)*$M56,5)),"")</f>
        <v/>
      </c>
      <c r="T56" s="38"/>
      <c r="U56" s="140" t="str">
        <f>IFERROR(IF(ISBLANK($T56),$S56,$T56)*'Techno-Economic Assumptions'!$D$25,"")</f>
        <v/>
      </c>
      <c r="V56" s="140" t="str">
        <f t="shared" si="6"/>
        <v/>
      </c>
      <c r="W56" s="140" t="str">
        <f>IFERROR(IF(ISBLANK($T56),$S56,$T56)*'Techno-Economic Assumptions'!$D$26,"")</f>
        <v/>
      </c>
      <c r="X56" s="140" t="str">
        <f t="shared" si="7"/>
        <v/>
      </c>
      <c r="Y56" s="141" t="str">
        <f>_xlfn.IFNA(VLOOKUP(I56,'Techno-Economic Assumptions'!$C$31:$D$34,2,FALSE),"")</f>
        <v/>
      </c>
      <c r="Z56" s="136" t="str">
        <f t="shared" si="9"/>
        <v/>
      </c>
      <c r="AA56" s="136" t="str">
        <f t="shared" si="8"/>
        <v/>
      </c>
      <c r="AB56" s="141" t="str">
        <f>IFERROR(Y56+'Techno-Economic Assumptions'!$D$30,"")</f>
        <v/>
      </c>
      <c r="AC56" s="136" t="str">
        <f t="shared" si="3"/>
        <v/>
      </c>
      <c r="AD56" s="136" t="str">
        <f t="shared" si="4"/>
        <v/>
      </c>
    </row>
    <row r="57" spans="2:30" x14ac:dyDescent="0.3">
      <c r="B57" s="36"/>
      <c r="C57" s="36"/>
      <c r="D57" s="37"/>
      <c r="E57" s="37"/>
      <c r="F57" s="38"/>
      <c r="G57" s="41"/>
      <c r="H57" s="36"/>
      <c r="I57" s="36"/>
      <c r="J57" s="38"/>
      <c r="K57" s="40"/>
      <c r="L57" s="93" t="str">
        <f t="shared" si="10"/>
        <v/>
      </c>
      <c r="M57" s="93" t="str">
        <f t="shared" si="11"/>
        <v/>
      </c>
      <c r="N57" s="93" t="str">
        <f t="shared" si="12"/>
        <v/>
      </c>
      <c r="O57" s="93" t="str">
        <f t="shared" si="13"/>
        <v/>
      </c>
      <c r="P57" s="94" t="str">
        <f>IF(G57&gt;0,(CEILING(VLOOKUP($H57,'Techno-Economic Assumptions'!$C$5:$I$17,6,FALSE)*$M57,0.5)),"")</f>
        <v/>
      </c>
      <c r="Q57" s="95" t="str">
        <f>IFERROR($P57*'Techno-Economic Assumptions'!$D$22,"")</f>
        <v/>
      </c>
      <c r="R57" s="95" t="str">
        <f>IF(ISNUMBER(P57),'Techno-Economic Assumptions'!$D$24,"")</f>
        <v/>
      </c>
      <c r="S57" s="94" t="str">
        <f>IF(G57&gt;0,(CEILING(VLOOKUP($H57,'Techno-Economic Assumptions'!$C$5:$I$17,7,FALSE)*$M57,5)),"")</f>
        <v/>
      </c>
      <c r="T57" s="38"/>
      <c r="U57" s="140" t="str">
        <f>IFERROR(IF(ISBLANK($T57),$S57,$T57)*'Techno-Economic Assumptions'!$D$25,"")</f>
        <v/>
      </c>
      <c r="V57" s="140" t="str">
        <f t="shared" si="6"/>
        <v/>
      </c>
      <c r="W57" s="140" t="str">
        <f>IFERROR(IF(ISBLANK($T57),$S57,$T57)*'Techno-Economic Assumptions'!$D$26,"")</f>
        <v/>
      </c>
      <c r="X57" s="140" t="str">
        <f t="shared" ref="X57:X88" si="14">IF(I57="Not working",W57,
IF(OR(I57="Poor",I57="Acceptable"),V57,""))</f>
        <v/>
      </c>
      <c r="Y57" s="141" t="str">
        <f>_xlfn.IFNA(VLOOKUP(I57,'Techno-Economic Assumptions'!$C$31:$D$34,2,FALSE),"")</f>
        <v/>
      </c>
      <c r="Z57" s="136" t="str">
        <f t="shared" si="9"/>
        <v/>
      </c>
      <c r="AA57" s="136" t="str">
        <f t="shared" si="8"/>
        <v/>
      </c>
      <c r="AB57" s="141" t="str">
        <f>IFERROR(Y57+'Techno-Economic Assumptions'!$D$30,"")</f>
        <v/>
      </c>
      <c r="AC57" s="136" t="str">
        <f t="shared" ref="AC57:AC88" si="15">IFERROR($AB57*$N57,"")</f>
        <v/>
      </c>
      <c r="AD57" s="136" t="str">
        <f t="shared" ref="AD57:AD88" si="16">IFERROR($AB57*$O57,"")</f>
        <v/>
      </c>
    </row>
    <row r="58" spans="2:30" x14ac:dyDescent="0.3">
      <c r="B58" s="36"/>
      <c r="C58" s="36"/>
      <c r="D58" s="37"/>
      <c r="E58" s="37"/>
      <c r="F58" s="38"/>
      <c r="G58" s="41"/>
      <c r="H58" s="36"/>
      <c r="I58" s="36"/>
      <c r="J58" s="38"/>
      <c r="K58" s="40"/>
      <c r="L58" s="93" t="str">
        <f t="shared" si="10"/>
        <v/>
      </c>
      <c r="M58" s="93" t="str">
        <f t="shared" si="11"/>
        <v/>
      </c>
      <c r="N58" s="93" t="str">
        <f t="shared" si="12"/>
        <v/>
      </c>
      <c r="O58" s="93" t="str">
        <f t="shared" si="13"/>
        <v/>
      </c>
      <c r="P58" s="94" t="str">
        <f>IF(G58&gt;0,(CEILING(VLOOKUP($H58,'Techno-Economic Assumptions'!$C$5:$I$17,6,FALSE)*$M58,0.5)),"")</f>
        <v/>
      </c>
      <c r="Q58" s="95" t="str">
        <f>IFERROR($P58*'Techno-Economic Assumptions'!$D$22,"")</f>
        <v/>
      </c>
      <c r="R58" s="95" t="str">
        <f>IF(ISNUMBER(P58),'Techno-Economic Assumptions'!$D$24,"")</f>
        <v/>
      </c>
      <c r="S58" s="94" t="str">
        <f>IF(G58&gt;0,(CEILING(VLOOKUP($H58,'Techno-Economic Assumptions'!$C$5:$I$17,7,FALSE)*$M58,5)),"")</f>
        <v/>
      </c>
      <c r="T58" s="38"/>
      <c r="U58" s="140" t="str">
        <f>IFERROR(IF(ISBLANK($T58),$S58,$T58)*'Techno-Economic Assumptions'!$D$25,"")</f>
        <v/>
      </c>
      <c r="V58" s="140" t="str">
        <f t="shared" si="6"/>
        <v/>
      </c>
      <c r="W58" s="140" t="str">
        <f>IFERROR(IF(ISBLANK($T58),$S58,$T58)*'Techno-Economic Assumptions'!$D$26,"")</f>
        <v/>
      </c>
      <c r="X58" s="140" t="str">
        <f t="shared" si="14"/>
        <v/>
      </c>
      <c r="Y58" s="141" t="str">
        <f>_xlfn.IFNA(VLOOKUP(I58,'Techno-Economic Assumptions'!$C$31:$D$34,2,FALSE),"")</f>
        <v/>
      </c>
      <c r="Z58" s="136" t="str">
        <f t="shared" si="9"/>
        <v/>
      </c>
      <c r="AA58" s="136" t="str">
        <f t="shared" si="8"/>
        <v/>
      </c>
      <c r="AB58" s="141" t="str">
        <f>IFERROR(Y58+'Techno-Economic Assumptions'!$D$30,"")</f>
        <v/>
      </c>
      <c r="AC58" s="136" t="str">
        <f t="shared" si="15"/>
        <v/>
      </c>
      <c r="AD58" s="136" t="str">
        <f t="shared" si="16"/>
        <v/>
      </c>
    </row>
    <row r="59" spans="2:30" x14ac:dyDescent="0.3">
      <c r="B59" s="36"/>
      <c r="C59" s="36"/>
      <c r="D59" s="37"/>
      <c r="E59" s="37"/>
      <c r="F59" s="38"/>
      <c r="G59" s="41"/>
      <c r="H59" s="36"/>
      <c r="I59" s="36"/>
      <c r="J59" s="38"/>
      <c r="K59" s="40"/>
      <c r="L59" s="93" t="str">
        <f t="shared" si="10"/>
        <v/>
      </c>
      <c r="M59" s="93" t="str">
        <f t="shared" si="11"/>
        <v/>
      </c>
      <c r="N59" s="93" t="str">
        <f t="shared" si="12"/>
        <v/>
      </c>
      <c r="O59" s="93" t="str">
        <f t="shared" si="13"/>
        <v/>
      </c>
      <c r="P59" s="94" t="str">
        <f>IF(G59&gt;0,(CEILING(VLOOKUP($H59,'Techno-Economic Assumptions'!$C$5:$I$17,6,FALSE)*$M59,0.5)),"")</f>
        <v/>
      </c>
      <c r="Q59" s="95" t="str">
        <f>IFERROR($P59*'Techno-Economic Assumptions'!$D$22,"")</f>
        <v/>
      </c>
      <c r="R59" s="95" t="str">
        <f>IF(ISNUMBER(P59),'Techno-Economic Assumptions'!$D$24,"")</f>
        <v/>
      </c>
      <c r="S59" s="94" t="str">
        <f>IF(G59&gt;0,(CEILING(VLOOKUP($H59,'Techno-Economic Assumptions'!$C$5:$I$17,7,FALSE)*$M59,5)),"")</f>
        <v/>
      </c>
      <c r="T59" s="38"/>
      <c r="U59" s="140" t="str">
        <f>IFERROR(IF(ISBLANK($T59),$S59,$T59)*'Techno-Economic Assumptions'!$D$25,"")</f>
        <v/>
      </c>
      <c r="V59" s="140" t="str">
        <f t="shared" si="6"/>
        <v/>
      </c>
      <c r="W59" s="140" t="str">
        <f>IFERROR(IF(ISBLANK($T59),$S59,$T59)*'Techno-Economic Assumptions'!$D$26,"")</f>
        <v/>
      </c>
      <c r="X59" s="140" t="str">
        <f t="shared" si="14"/>
        <v/>
      </c>
      <c r="Y59" s="141" t="str">
        <f>_xlfn.IFNA(VLOOKUP(I59,'Techno-Economic Assumptions'!$C$31:$D$34,2,FALSE),"")</f>
        <v/>
      </c>
      <c r="Z59" s="136" t="str">
        <f t="shared" si="9"/>
        <v/>
      </c>
      <c r="AA59" s="136" t="str">
        <f t="shared" si="8"/>
        <v/>
      </c>
      <c r="AB59" s="141" t="str">
        <f>IFERROR(Y59+'Techno-Economic Assumptions'!$D$30,"")</f>
        <v/>
      </c>
      <c r="AC59" s="136" t="str">
        <f t="shared" si="15"/>
        <v/>
      </c>
      <c r="AD59" s="136" t="str">
        <f t="shared" si="16"/>
        <v/>
      </c>
    </row>
    <row r="60" spans="2:30" x14ac:dyDescent="0.3">
      <c r="B60" s="36"/>
      <c r="C60" s="36"/>
      <c r="D60" s="37"/>
      <c r="E60" s="37"/>
      <c r="F60" s="38"/>
      <c r="G60" s="41"/>
      <c r="H60" s="36"/>
      <c r="I60" s="36"/>
      <c r="J60" s="38"/>
      <c r="K60" s="40"/>
      <c r="L60" s="93" t="str">
        <f t="shared" si="10"/>
        <v/>
      </c>
      <c r="M60" s="93" t="str">
        <f t="shared" si="11"/>
        <v/>
      </c>
      <c r="N60" s="93" t="str">
        <f t="shared" si="12"/>
        <v/>
      </c>
      <c r="O60" s="93" t="str">
        <f t="shared" si="13"/>
        <v/>
      </c>
      <c r="P60" s="94" t="str">
        <f>IF(G60&gt;0,(CEILING(VLOOKUP($H60,'Techno-Economic Assumptions'!$C$5:$I$17,6,FALSE)*$M60,0.5)),"")</f>
        <v/>
      </c>
      <c r="Q60" s="95" t="str">
        <f>IFERROR($P60*'Techno-Economic Assumptions'!$D$22,"")</f>
        <v/>
      </c>
      <c r="R60" s="95" t="str">
        <f>IF(ISNUMBER(P60),'Techno-Economic Assumptions'!$D$24,"")</f>
        <v/>
      </c>
      <c r="S60" s="94" t="str">
        <f>IF(G60&gt;0,(CEILING(VLOOKUP($H60,'Techno-Economic Assumptions'!$C$5:$I$17,7,FALSE)*$M60,5)),"")</f>
        <v/>
      </c>
      <c r="T60" s="38"/>
      <c r="U60" s="140" t="str">
        <f>IFERROR(IF(ISBLANK($T60),$S60,$T60)*'Techno-Economic Assumptions'!$D$25,"")</f>
        <v/>
      </c>
      <c r="V60" s="140" t="str">
        <f t="shared" si="6"/>
        <v/>
      </c>
      <c r="W60" s="140" t="str">
        <f>IFERROR(IF(ISBLANK($T60),$S60,$T60)*'Techno-Economic Assumptions'!$D$26,"")</f>
        <v/>
      </c>
      <c r="X60" s="140" t="str">
        <f t="shared" si="14"/>
        <v/>
      </c>
      <c r="Y60" s="141" t="str">
        <f>_xlfn.IFNA(VLOOKUP(I60,'Techno-Economic Assumptions'!$C$31:$D$34,2,FALSE),"")</f>
        <v/>
      </c>
      <c r="Z60" s="136" t="str">
        <f t="shared" si="9"/>
        <v/>
      </c>
      <c r="AA60" s="136" t="str">
        <f t="shared" si="8"/>
        <v/>
      </c>
      <c r="AB60" s="141" t="str">
        <f>IFERROR(Y60+'Techno-Economic Assumptions'!$D$30,"")</f>
        <v/>
      </c>
      <c r="AC60" s="136" t="str">
        <f t="shared" si="15"/>
        <v/>
      </c>
      <c r="AD60" s="136" t="str">
        <f t="shared" si="16"/>
        <v/>
      </c>
    </row>
    <row r="61" spans="2:30" x14ac:dyDescent="0.3">
      <c r="B61" s="36"/>
      <c r="C61" s="36"/>
      <c r="D61" s="37"/>
      <c r="E61" s="37"/>
      <c r="F61" s="38"/>
      <c r="G61" s="41"/>
      <c r="H61" s="36"/>
      <c r="I61" s="36"/>
      <c r="J61" s="38"/>
      <c r="K61" s="40"/>
      <c r="L61" s="93" t="str">
        <f t="shared" si="10"/>
        <v/>
      </c>
      <c r="M61" s="93" t="str">
        <f t="shared" si="11"/>
        <v/>
      </c>
      <c r="N61" s="93" t="str">
        <f t="shared" si="12"/>
        <v/>
      </c>
      <c r="O61" s="93" t="str">
        <f t="shared" si="13"/>
        <v/>
      </c>
      <c r="P61" s="94" t="str">
        <f>IF(G61&gt;0,(CEILING(VLOOKUP($H61,'Techno-Economic Assumptions'!$C$5:$I$17,6,FALSE)*$M61,0.5)),"")</f>
        <v/>
      </c>
      <c r="Q61" s="95" t="str">
        <f>IFERROR($P61*'Techno-Economic Assumptions'!$D$22,"")</f>
        <v/>
      </c>
      <c r="R61" s="95" t="str">
        <f>IF(ISNUMBER(P61),'Techno-Economic Assumptions'!$D$24,"")</f>
        <v/>
      </c>
      <c r="S61" s="94" t="str">
        <f>IF(G61&gt;0,(CEILING(VLOOKUP($H61,'Techno-Economic Assumptions'!$C$5:$I$17,7,FALSE)*$M61,5)),"")</f>
        <v/>
      </c>
      <c r="T61" s="38"/>
      <c r="U61" s="140" t="str">
        <f>IFERROR(IF(ISBLANK($T61),$S61,$T61)*'Techno-Economic Assumptions'!$D$25,"")</f>
        <v/>
      </c>
      <c r="V61" s="140" t="str">
        <f t="shared" si="6"/>
        <v/>
      </c>
      <c r="W61" s="140" t="str">
        <f>IFERROR(IF(ISBLANK($T61),$S61,$T61)*'Techno-Economic Assumptions'!$D$26,"")</f>
        <v/>
      </c>
      <c r="X61" s="140" t="str">
        <f t="shared" si="14"/>
        <v/>
      </c>
      <c r="Y61" s="141" t="str">
        <f>_xlfn.IFNA(VLOOKUP(I61,'Techno-Economic Assumptions'!$C$31:$D$34,2,FALSE),"")</f>
        <v/>
      </c>
      <c r="Z61" s="136" t="str">
        <f t="shared" si="9"/>
        <v/>
      </c>
      <c r="AA61" s="136" t="str">
        <f t="shared" si="8"/>
        <v/>
      </c>
      <c r="AB61" s="141" t="str">
        <f>IFERROR(Y61+'Techno-Economic Assumptions'!$D$30,"")</f>
        <v/>
      </c>
      <c r="AC61" s="136" t="str">
        <f t="shared" si="15"/>
        <v/>
      </c>
      <c r="AD61" s="136" t="str">
        <f t="shared" si="16"/>
        <v/>
      </c>
    </row>
    <row r="62" spans="2:30" x14ac:dyDescent="0.3">
      <c r="B62" s="36"/>
      <c r="C62" s="36"/>
      <c r="D62" s="37"/>
      <c r="E62" s="37"/>
      <c r="F62" s="38"/>
      <c r="G62" s="41"/>
      <c r="H62" s="36"/>
      <c r="I62" s="36"/>
      <c r="J62" s="38"/>
      <c r="K62" s="40"/>
      <c r="L62" s="93" t="str">
        <f t="shared" si="10"/>
        <v/>
      </c>
      <c r="M62" s="93" t="str">
        <f t="shared" si="11"/>
        <v/>
      </c>
      <c r="N62" s="93" t="str">
        <f t="shared" si="12"/>
        <v/>
      </c>
      <c r="O62" s="93" t="str">
        <f t="shared" si="13"/>
        <v/>
      </c>
      <c r="P62" s="94" t="str">
        <f>IF(G62&gt;0,(CEILING(VLOOKUP($H62,'Techno-Economic Assumptions'!$C$5:$I$17,6,FALSE)*$M62,0.5)),"")</f>
        <v/>
      </c>
      <c r="Q62" s="95" t="str">
        <f>IFERROR($P62*'Techno-Economic Assumptions'!$D$22,"")</f>
        <v/>
      </c>
      <c r="R62" s="95" t="str">
        <f>IF(ISNUMBER(P62),'Techno-Economic Assumptions'!$D$24,"")</f>
        <v/>
      </c>
      <c r="S62" s="94" t="str">
        <f>IF(G62&gt;0,(CEILING(VLOOKUP($H62,'Techno-Economic Assumptions'!$C$5:$I$17,7,FALSE)*$M62,5)),"")</f>
        <v/>
      </c>
      <c r="T62" s="38"/>
      <c r="U62" s="140" t="str">
        <f>IFERROR(IF(ISBLANK($T62),$S62,$T62)*'Techno-Economic Assumptions'!$D$25,"")</f>
        <v/>
      </c>
      <c r="V62" s="140" t="str">
        <f t="shared" si="6"/>
        <v/>
      </c>
      <c r="W62" s="140" t="str">
        <f>IFERROR(IF(ISBLANK($T62),$S62,$T62)*'Techno-Economic Assumptions'!$D$26,"")</f>
        <v/>
      </c>
      <c r="X62" s="140" t="str">
        <f t="shared" si="14"/>
        <v/>
      </c>
      <c r="Y62" s="141" t="str">
        <f>_xlfn.IFNA(VLOOKUP(I62,'Techno-Economic Assumptions'!$C$31:$D$34,2,FALSE),"")</f>
        <v/>
      </c>
      <c r="Z62" s="136" t="str">
        <f t="shared" si="9"/>
        <v/>
      </c>
      <c r="AA62" s="136" t="str">
        <f t="shared" si="8"/>
        <v/>
      </c>
      <c r="AB62" s="141" t="str">
        <f>IFERROR(Y62+'Techno-Economic Assumptions'!$D$30,"")</f>
        <v/>
      </c>
      <c r="AC62" s="136" t="str">
        <f t="shared" si="15"/>
        <v/>
      </c>
      <c r="AD62" s="136" t="str">
        <f t="shared" si="16"/>
        <v/>
      </c>
    </row>
    <row r="63" spans="2:30" x14ac:dyDescent="0.3">
      <c r="B63" s="36"/>
      <c r="C63" s="36"/>
      <c r="D63" s="37"/>
      <c r="E63" s="37"/>
      <c r="F63" s="38"/>
      <c r="G63" s="41"/>
      <c r="H63" s="36"/>
      <c r="I63" s="36"/>
      <c r="J63" s="38"/>
      <c r="K63" s="40"/>
      <c r="L63" s="93" t="str">
        <f t="shared" si="10"/>
        <v/>
      </c>
      <c r="M63" s="93" t="str">
        <f t="shared" si="11"/>
        <v/>
      </c>
      <c r="N63" s="93" t="str">
        <f t="shared" si="12"/>
        <v/>
      </c>
      <c r="O63" s="93" t="str">
        <f t="shared" si="13"/>
        <v/>
      </c>
      <c r="P63" s="94" t="str">
        <f>IF(G63&gt;0,(CEILING(VLOOKUP($H63,'Techno-Economic Assumptions'!$C$5:$I$17,6,FALSE)*$M63,0.5)),"")</f>
        <v/>
      </c>
      <c r="Q63" s="95" t="str">
        <f>IFERROR($P63*'Techno-Economic Assumptions'!$D$22,"")</f>
        <v/>
      </c>
      <c r="R63" s="95" t="str">
        <f>IF(ISNUMBER(P63),'Techno-Economic Assumptions'!$D$24,"")</f>
        <v/>
      </c>
      <c r="S63" s="94" t="str">
        <f>IF(G63&gt;0,(CEILING(VLOOKUP($H63,'Techno-Economic Assumptions'!$C$5:$I$17,7,FALSE)*$M63,5)),"")</f>
        <v/>
      </c>
      <c r="T63" s="38"/>
      <c r="U63" s="140" t="str">
        <f>IFERROR(IF(ISBLANK($T63),$S63,$T63)*'Techno-Economic Assumptions'!$D$25,"")</f>
        <v/>
      </c>
      <c r="V63" s="140" t="str">
        <f t="shared" si="6"/>
        <v/>
      </c>
      <c r="W63" s="140" t="str">
        <f>IFERROR(IF(ISBLANK($T63),$S63,$T63)*'Techno-Economic Assumptions'!$D$26,"")</f>
        <v/>
      </c>
      <c r="X63" s="140" t="str">
        <f t="shared" si="14"/>
        <v/>
      </c>
      <c r="Y63" s="141" t="str">
        <f>_xlfn.IFNA(VLOOKUP(I63,'Techno-Economic Assumptions'!$C$31:$D$34,2,FALSE),"")</f>
        <v/>
      </c>
      <c r="Z63" s="136" t="str">
        <f t="shared" si="9"/>
        <v/>
      </c>
      <c r="AA63" s="136" t="str">
        <f t="shared" si="8"/>
        <v/>
      </c>
      <c r="AB63" s="141" t="str">
        <f>IFERROR(Y63+'Techno-Economic Assumptions'!$D$30,"")</f>
        <v/>
      </c>
      <c r="AC63" s="136" t="str">
        <f t="shared" si="15"/>
        <v/>
      </c>
      <c r="AD63" s="136" t="str">
        <f t="shared" si="16"/>
        <v/>
      </c>
    </row>
    <row r="64" spans="2:30" x14ac:dyDescent="0.3">
      <c r="B64" s="36"/>
      <c r="C64" s="36"/>
      <c r="D64" s="37"/>
      <c r="E64" s="37"/>
      <c r="F64" s="38"/>
      <c r="G64" s="41"/>
      <c r="H64" s="36"/>
      <c r="I64" s="36"/>
      <c r="J64" s="38"/>
      <c r="K64" s="40"/>
      <c r="L64" s="93" t="str">
        <f t="shared" si="10"/>
        <v/>
      </c>
      <c r="M64" s="93" t="str">
        <f t="shared" si="11"/>
        <v/>
      </c>
      <c r="N64" s="93" t="str">
        <f t="shared" si="12"/>
        <v/>
      </c>
      <c r="O64" s="93" t="str">
        <f t="shared" si="13"/>
        <v/>
      </c>
      <c r="P64" s="94" t="str">
        <f>IF(G64&gt;0,(CEILING(VLOOKUP($H64,'Techno-Economic Assumptions'!$C$5:$I$17,6,FALSE)*$M64,0.5)),"")</f>
        <v/>
      </c>
      <c r="Q64" s="95" t="str">
        <f>IFERROR($P64*'Techno-Economic Assumptions'!$D$22,"")</f>
        <v/>
      </c>
      <c r="R64" s="95" t="str">
        <f>IF(ISNUMBER(P64),'Techno-Economic Assumptions'!$D$24,"")</f>
        <v/>
      </c>
      <c r="S64" s="94" t="str">
        <f>IF(G64&gt;0,(CEILING(VLOOKUP($H64,'Techno-Economic Assumptions'!$C$5:$I$17,7,FALSE)*$M64,5)),"")</f>
        <v/>
      </c>
      <c r="T64" s="38"/>
      <c r="U64" s="140" t="str">
        <f>IFERROR(IF(ISBLANK($T64),$S64,$T64)*'Techno-Economic Assumptions'!$D$25,"")</f>
        <v/>
      </c>
      <c r="V64" s="140" t="str">
        <f t="shared" si="6"/>
        <v/>
      </c>
      <c r="W64" s="140" t="str">
        <f>IFERROR(IF(ISBLANK($T64),$S64,$T64)*'Techno-Economic Assumptions'!$D$26,"")</f>
        <v/>
      </c>
      <c r="X64" s="140" t="str">
        <f t="shared" si="14"/>
        <v/>
      </c>
      <c r="Y64" s="141" t="str">
        <f>_xlfn.IFNA(VLOOKUP(I64,'Techno-Economic Assumptions'!$C$31:$D$34,2,FALSE),"")</f>
        <v/>
      </c>
      <c r="Z64" s="136" t="str">
        <f t="shared" si="9"/>
        <v/>
      </c>
      <c r="AA64" s="136" t="str">
        <f t="shared" si="8"/>
        <v/>
      </c>
      <c r="AB64" s="141" t="str">
        <f>IFERROR(Y64+'Techno-Economic Assumptions'!$D$30,"")</f>
        <v/>
      </c>
      <c r="AC64" s="136" t="str">
        <f t="shared" si="15"/>
        <v/>
      </c>
      <c r="AD64" s="136" t="str">
        <f t="shared" si="16"/>
        <v/>
      </c>
    </row>
    <row r="65" spans="2:30" x14ac:dyDescent="0.3">
      <c r="B65" s="36"/>
      <c r="C65" s="36"/>
      <c r="D65" s="37"/>
      <c r="E65" s="37"/>
      <c r="F65" s="38"/>
      <c r="G65" s="41"/>
      <c r="H65" s="36"/>
      <c r="I65" s="36"/>
      <c r="J65" s="38"/>
      <c r="K65" s="40"/>
      <c r="L65" s="93" t="str">
        <f t="shared" si="10"/>
        <v/>
      </c>
      <c r="M65" s="93" t="str">
        <f t="shared" si="11"/>
        <v/>
      </c>
      <c r="N65" s="93" t="str">
        <f t="shared" si="12"/>
        <v/>
      </c>
      <c r="O65" s="93" t="str">
        <f t="shared" si="13"/>
        <v/>
      </c>
      <c r="P65" s="94" t="str">
        <f>IF(G65&gt;0,(CEILING(VLOOKUP($H65,'Techno-Economic Assumptions'!$C$5:$I$17,6,FALSE)*$M65,0.5)),"")</f>
        <v/>
      </c>
      <c r="Q65" s="95" t="str">
        <f>IFERROR($P65*'Techno-Economic Assumptions'!$D$22,"")</f>
        <v/>
      </c>
      <c r="R65" s="95" t="str">
        <f>IF(ISNUMBER(P65),'Techno-Economic Assumptions'!$D$24,"")</f>
        <v/>
      </c>
      <c r="S65" s="94" t="str">
        <f>IF(G65&gt;0,(CEILING(VLOOKUP($H65,'Techno-Economic Assumptions'!$C$5:$I$17,7,FALSE)*$M65,5)),"")</f>
        <v/>
      </c>
      <c r="T65" s="38"/>
      <c r="U65" s="140" t="str">
        <f>IFERROR(IF(ISBLANK($T65),$S65,$T65)*'Techno-Economic Assumptions'!$D$25,"")</f>
        <v/>
      </c>
      <c r="V65" s="140" t="str">
        <f t="shared" si="6"/>
        <v/>
      </c>
      <c r="W65" s="140" t="str">
        <f>IFERROR(IF(ISBLANK($T65),$S65,$T65)*'Techno-Economic Assumptions'!$D$26,"")</f>
        <v/>
      </c>
      <c r="X65" s="140" t="str">
        <f t="shared" si="14"/>
        <v/>
      </c>
      <c r="Y65" s="141" t="str">
        <f>_xlfn.IFNA(VLOOKUP(I65,'Techno-Economic Assumptions'!$C$31:$D$34,2,FALSE),"")</f>
        <v/>
      </c>
      <c r="Z65" s="136" t="str">
        <f t="shared" si="9"/>
        <v/>
      </c>
      <c r="AA65" s="136" t="str">
        <f t="shared" si="8"/>
        <v/>
      </c>
      <c r="AB65" s="141" t="str">
        <f>IFERROR(Y65+'Techno-Economic Assumptions'!$D$30,"")</f>
        <v/>
      </c>
      <c r="AC65" s="136" t="str">
        <f t="shared" si="15"/>
        <v/>
      </c>
      <c r="AD65" s="136" t="str">
        <f t="shared" si="16"/>
        <v/>
      </c>
    </row>
    <row r="66" spans="2:30" x14ac:dyDescent="0.3">
      <c r="B66" s="36"/>
      <c r="C66" s="36"/>
      <c r="D66" s="37"/>
      <c r="E66" s="37"/>
      <c r="F66" s="38"/>
      <c r="G66" s="41"/>
      <c r="H66" s="36"/>
      <c r="I66" s="36"/>
      <c r="J66" s="38"/>
      <c r="K66" s="40"/>
      <c r="L66" s="93" t="str">
        <f t="shared" si="10"/>
        <v/>
      </c>
      <c r="M66" s="93" t="str">
        <f t="shared" si="11"/>
        <v/>
      </c>
      <c r="N66" s="93" t="str">
        <f t="shared" si="12"/>
        <v/>
      </c>
      <c r="O66" s="93" t="str">
        <f t="shared" si="13"/>
        <v/>
      </c>
      <c r="P66" s="94" t="str">
        <f>IF(G66&gt;0,(CEILING(VLOOKUP($H66,'Techno-Economic Assumptions'!$C$5:$I$17,6,FALSE)*$M66,0.5)),"")</f>
        <v/>
      </c>
      <c r="Q66" s="95" t="str">
        <f>IFERROR($P66*'Techno-Economic Assumptions'!$D$22,"")</f>
        <v/>
      </c>
      <c r="R66" s="95" t="str">
        <f>IF(ISNUMBER(P66),'Techno-Economic Assumptions'!$D$24,"")</f>
        <v/>
      </c>
      <c r="S66" s="94" t="str">
        <f>IF(G66&gt;0,(CEILING(VLOOKUP($H66,'Techno-Economic Assumptions'!$C$5:$I$17,7,FALSE)*$M66,5)),"")</f>
        <v/>
      </c>
      <c r="T66" s="38"/>
      <c r="U66" s="140" t="str">
        <f>IFERROR(IF(ISBLANK($T66),$S66,$T66)*'Techno-Economic Assumptions'!$D$25,"")</f>
        <v/>
      </c>
      <c r="V66" s="140" t="str">
        <f t="shared" si="6"/>
        <v/>
      </c>
      <c r="W66" s="140" t="str">
        <f>IFERROR(IF(ISBLANK($T66),$S66,$T66)*'Techno-Economic Assumptions'!$D$26,"")</f>
        <v/>
      </c>
      <c r="X66" s="140" t="str">
        <f t="shared" si="14"/>
        <v/>
      </c>
      <c r="Y66" s="141" t="str">
        <f>_xlfn.IFNA(VLOOKUP(I66,'Techno-Economic Assumptions'!$C$31:$D$34,2,FALSE),"")</f>
        <v/>
      </c>
      <c r="Z66" s="136" t="str">
        <f t="shared" si="9"/>
        <v/>
      </c>
      <c r="AA66" s="136" t="str">
        <f t="shared" si="8"/>
        <v/>
      </c>
      <c r="AB66" s="141" t="str">
        <f>IFERROR(Y66+'Techno-Economic Assumptions'!$D$30,"")</f>
        <v/>
      </c>
      <c r="AC66" s="136" t="str">
        <f t="shared" si="15"/>
        <v/>
      </c>
      <c r="AD66" s="136" t="str">
        <f t="shared" si="16"/>
        <v/>
      </c>
    </row>
    <row r="67" spans="2:30" x14ac:dyDescent="0.3">
      <c r="B67" s="36"/>
      <c r="C67" s="36"/>
      <c r="D67" s="37"/>
      <c r="E67" s="37"/>
      <c r="F67" s="38"/>
      <c r="G67" s="41"/>
      <c r="H67" s="36"/>
      <c r="I67" s="36"/>
      <c r="J67" s="38"/>
      <c r="K67" s="40"/>
      <c r="L67" s="93" t="str">
        <f t="shared" si="10"/>
        <v/>
      </c>
      <c r="M67" s="93" t="str">
        <f t="shared" si="11"/>
        <v/>
      </c>
      <c r="N67" s="93" t="str">
        <f t="shared" si="12"/>
        <v/>
      </c>
      <c r="O67" s="93" t="str">
        <f t="shared" si="13"/>
        <v/>
      </c>
      <c r="P67" s="94" t="str">
        <f>IF(G67&gt;0,(CEILING(VLOOKUP($H67,'Techno-Economic Assumptions'!$C$5:$I$17,6,FALSE)*$M67,0.5)),"")</f>
        <v/>
      </c>
      <c r="Q67" s="95" t="str">
        <f>IFERROR($P67*'Techno-Economic Assumptions'!$D$22,"")</f>
        <v/>
      </c>
      <c r="R67" s="95" t="str">
        <f>IF(ISNUMBER(P67),'Techno-Economic Assumptions'!$D$24,"")</f>
        <v/>
      </c>
      <c r="S67" s="94" t="str">
        <f>IF(G67&gt;0,(CEILING(VLOOKUP($H67,'Techno-Economic Assumptions'!$C$5:$I$17,7,FALSE)*$M67,5)),"")</f>
        <v/>
      </c>
      <c r="T67" s="38"/>
      <c r="U67" s="140" t="str">
        <f>IFERROR(IF(ISBLANK($T67),$S67,$T67)*'Techno-Economic Assumptions'!$D$25,"")</f>
        <v/>
      </c>
      <c r="V67" s="140" t="str">
        <f t="shared" si="6"/>
        <v/>
      </c>
      <c r="W67" s="140" t="str">
        <f>IFERROR(IF(ISBLANK($T67),$S67,$T67)*'Techno-Economic Assumptions'!$D$26,"")</f>
        <v/>
      </c>
      <c r="X67" s="140" t="str">
        <f t="shared" si="14"/>
        <v/>
      </c>
      <c r="Y67" s="141" t="str">
        <f>_xlfn.IFNA(VLOOKUP(I67,'Techno-Economic Assumptions'!$C$31:$D$34,2,FALSE),"")</f>
        <v/>
      </c>
      <c r="Z67" s="136" t="str">
        <f t="shared" si="9"/>
        <v/>
      </c>
      <c r="AA67" s="136" t="str">
        <f t="shared" si="8"/>
        <v/>
      </c>
      <c r="AB67" s="141" t="str">
        <f>IFERROR(Y67+'Techno-Economic Assumptions'!$D$30,"")</f>
        <v/>
      </c>
      <c r="AC67" s="136" t="str">
        <f t="shared" si="15"/>
        <v/>
      </c>
      <c r="AD67" s="136" t="str">
        <f t="shared" si="16"/>
        <v/>
      </c>
    </row>
    <row r="68" spans="2:30" x14ac:dyDescent="0.3">
      <c r="B68" s="36"/>
      <c r="C68" s="36"/>
      <c r="D68" s="37"/>
      <c r="E68" s="37"/>
      <c r="F68" s="38"/>
      <c r="G68" s="41"/>
      <c r="H68" s="36"/>
      <c r="I68" s="36"/>
      <c r="J68" s="38"/>
      <c r="K68" s="40"/>
      <c r="L68" s="93" t="str">
        <f t="shared" si="10"/>
        <v/>
      </c>
      <c r="M68" s="93" t="str">
        <f t="shared" si="11"/>
        <v/>
      </c>
      <c r="N68" s="93" t="str">
        <f t="shared" si="12"/>
        <v/>
      </c>
      <c r="O68" s="93" t="str">
        <f t="shared" si="13"/>
        <v/>
      </c>
      <c r="P68" s="94" t="str">
        <f>IF(G68&gt;0,(CEILING(VLOOKUP($H68,'Techno-Economic Assumptions'!$C$5:$I$17,6,FALSE)*$M68,0.5)),"")</f>
        <v/>
      </c>
      <c r="Q68" s="95" t="str">
        <f>IFERROR($P68*'Techno-Economic Assumptions'!$D$22,"")</f>
        <v/>
      </c>
      <c r="R68" s="95" t="str">
        <f>IF(ISNUMBER(P68),'Techno-Economic Assumptions'!$D$24,"")</f>
        <v/>
      </c>
      <c r="S68" s="94" t="str">
        <f>IF(G68&gt;0,(CEILING(VLOOKUP($H68,'Techno-Economic Assumptions'!$C$5:$I$17,7,FALSE)*$M68,5)),"")</f>
        <v/>
      </c>
      <c r="T68" s="38"/>
      <c r="U68" s="140" t="str">
        <f>IFERROR(IF(ISBLANK($T68),$S68,$T68)*'Techno-Economic Assumptions'!$D$25,"")</f>
        <v/>
      </c>
      <c r="V68" s="140" t="str">
        <f t="shared" si="6"/>
        <v/>
      </c>
      <c r="W68" s="140" t="str">
        <f>IFERROR(IF(ISBLANK($T68),$S68,$T68)*'Techno-Economic Assumptions'!$D$26,"")</f>
        <v/>
      </c>
      <c r="X68" s="140" t="str">
        <f t="shared" si="14"/>
        <v/>
      </c>
      <c r="Y68" s="141" t="str">
        <f>_xlfn.IFNA(VLOOKUP(I68,'Techno-Economic Assumptions'!$C$31:$D$34,2,FALSE),"")</f>
        <v/>
      </c>
      <c r="Z68" s="136" t="str">
        <f t="shared" si="9"/>
        <v/>
      </c>
      <c r="AA68" s="136" t="str">
        <f t="shared" si="8"/>
        <v/>
      </c>
      <c r="AB68" s="141" t="str">
        <f>IFERROR(Y68+'Techno-Economic Assumptions'!$D$30,"")</f>
        <v/>
      </c>
      <c r="AC68" s="136" t="str">
        <f t="shared" si="15"/>
        <v/>
      </c>
      <c r="AD68" s="136" t="str">
        <f t="shared" si="16"/>
        <v/>
      </c>
    </row>
    <row r="69" spans="2:30" x14ac:dyDescent="0.3">
      <c r="B69" s="36"/>
      <c r="C69" s="36"/>
      <c r="D69" s="37"/>
      <c r="E69" s="37"/>
      <c r="F69" s="38"/>
      <c r="G69" s="41"/>
      <c r="H69" s="36"/>
      <c r="I69" s="36"/>
      <c r="J69" s="38"/>
      <c r="K69" s="40"/>
      <c r="L69" s="93" t="str">
        <f t="shared" si="10"/>
        <v/>
      </c>
      <c r="M69" s="93" t="str">
        <f t="shared" si="11"/>
        <v/>
      </c>
      <c r="N69" s="93" t="str">
        <f t="shared" si="12"/>
        <v/>
      </c>
      <c r="O69" s="93" t="str">
        <f t="shared" si="13"/>
        <v/>
      </c>
      <c r="P69" s="94" t="str">
        <f>IF(G69&gt;0,(CEILING(VLOOKUP($H69,'Techno-Economic Assumptions'!$C$5:$I$17,6,FALSE)*$M69,0.5)),"")</f>
        <v/>
      </c>
      <c r="Q69" s="95" t="str">
        <f>IFERROR($P69*'Techno-Economic Assumptions'!$D$22,"")</f>
        <v/>
      </c>
      <c r="R69" s="95" t="str">
        <f>IF(ISNUMBER(P69),'Techno-Economic Assumptions'!$D$24,"")</f>
        <v/>
      </c>
      <c r="S69" s="94" t="str">
        <f>IF(G69&gt;0,(CEILING(VLOOKUP($H69,'Techno-Economic Assumptions'!$C$5:$I$17,7,FALSE)*$M69,5)),"")</f>
        <v/>
      </c>
      <c r="T69" s="38"/>
      <c r="U69" s="140" t="str">
        <f>IFERROR(IF(ISBLANK($T69),$S69,$T69)*'Techno-Economic Assumptions'!$D$25,"")</f>
        <v/>
      </c>
      <c r="V69" s="140" t="str">
        <f t="shared" si="6"/>
        <v/>
      </c>
      <c r="W69" s="140" t="str">
        <f>IFERROR(IF(ISBLANK($T69),$S69,$T69)*'Techno-Economic Assumptions'!$D$26,"")</f>
        <v/>
      </c>
      <c r="X69" s="140" t="str">
        <f t="shared" si="14"/>
        <v/>
      </c>
      <c r="Y69" s="141" t="str">
        <f>_xlfn.IFNA(VLOOKUP(I69,'Techno-Economic Assumptions'!$C$31:$D$34,2,FALSE),"")</f>
        <v/>
      </c>
      <c r="Z69" s="136" t="str">
        <f t="shared" si="9"/>
        <v/>
      </c>
      <c r="AA69" s="136" t="str">
        <f t="shared" si="8"/>
        <v/>
      </c>
      <c r="AB69" s="141" t="str">
        <f>IFERROR(Y69+'Techno-Economic Assumptions'!$D$30,"")</f>
        <v/>
      </c>
      <c r="AC69" s="136" t="str">
        <f t="shared" si="15"/>
        <v/>
      </c>
      <c r="AD69" s="136" t="str">
        <f t="shared" si="16"/>
        <v/>
      </c>
    </row>
    <row r="70" spans="2:30" x14ac:dyDescent="0.3">
      <c r="B70" s="36"/>
      <c r="C70" s="36"/>
      <c r="D70" s="37"/>
      <c r="E70" s="37"/>
      <c r="F70" s="38"/>
      <c r="G70" s="41"/>
      <c r="H70" s="36"/>
      <c r="I70" s="36"/>
      <c r="J70" s="38"/>
      <c r="K70" s="40"/>
      <c r="L70" s="93" t="str">
        <f t="shared" si="10"/>
        <v/>
      </c>
      <c r="M70" s="93" t="str">
        <f t="shared" si="11"/>
        <v/>
      </c>
      <c r="N70" s="93" t="str">
        <f t="shared" si="12"/>
        <v/>
      </c>
      <c r="O70" s="93" t="str">
        <f t="shared" si="13"/>
        <v/>
      </c>
      <c r="P70" s="94" t="str">
        <f>IF(G70&gt;0,(CEILING(VLOOKUP($H70,'Techno-Economic Assumptions'!$C$5:$I$17,6,FALSE)*$M70,0.5)),"")</f>
        <v/>
      </c>
      <c r="Q70" s="95" t="str">
        <f>IFERROR($P70*'Techno-Economic Assumptions'!$D$22,"")</f>
        <v/>
      </c>
      <c r="R70" s="95" t="str">
        <f>IF(ISNUMBER(P70),'Techno-Economic Assumptions'!$D$24,"")</f>
        <v/>
      </c>
      <c r="S70" s="94" t="str">
        <f>IF(G70&gt;0,(CEILING(VLOOKUP($H70,'Techno-Economic Assumptions'!$C$5:$I$17,7,FALSE)*$M70,5)),"")</f>
        <v/>
      </c>
      <c r="T70" s="38"/>
      <c r="U70" s="140" t="str">
        <f>IFERROR(IF(ISBLANK($T70),$S70,$T70)*'Techno-Economic Assumptions'!$D$25,"")</f>
        <v/>
      </c>
      <c r="V70" s="140" t="str">
        <f t="shared" si="6"/>
        <v/>
      </c>
      <c r="W70" s="140" t="str">
        <f>IFERROR(IF(ISBLANK($T70),$S70,$T70)*'Techno-Economic Assumptions'!$D$26,"")</f>
        <v/>
      </c>
      <c r="X70" s="140" t="str">
        <f t="shared" si="14"/>
        <v/>
      </c>
      <c r="Y70" s="141" t="str">
        <f>_xlfn.IFNA(VLOOKUP(I70,'Techno-Economic Assumptions'!$C$31:$D$34,2,FALSE),"")</f>
        <v/>
      </c>
      <c r="Z70" s="136" t="str">
        <f t="shared" si="9"/>
        <v/>
      </c>
      <c r="AA70" s="136" t="str">
        <f t="shared" si="8"/>
        <v/>
      </c>
      <c r="AB70" s="141" t="str">
        <f>IFERROR(Y70+'Techno-Economic Assumptions'!$D$30,"")</f>
        <v/>
      </c>
      <c r="AC70" s="136" t="str">
        <f t="shared" si="15"/>
        <v/>
      </c>
      <c r="AD70" s="136" t="str">
        <f t="shared" si="16"/>
        <v/>
      </c>
    </row>
    <row r="71" spans="2:30" x14ac:dyDescent="0.3">
      <c r="B71" s="36"/>
      <c r="C71" s="36"/>
      <c r="D71" s="37"/>
      <c r="E71" s="37"/>
      <c r="F71" s="38"/>
      <c r="G71" s="41"/>
      <c r="H71" s="36"/>
      <c r="I71" s="36"/>
      <c r="J71" s="38"/>
      <c r="K71" s="40"/>
      <c r="L71" s="93" t="str">
        <f t="shared" si="10"/>
        <v/>
      </c>
      <c r="M71" s="93" t="str">
        <f t="shared" si="11"/>
        <v/>
      </c>
      <c r="N71" s="93" t="str">
        <f t="shared" si="12"/>
        <v/>
      </c>
      <c r="O71" s="93" t="str">
        <f t="shared" si="13"/>
        <v/>
      </c>
      <c r="P71" s="94" t="str">
        <f>IF(G71&gt;0,(CEILING(VLOOKUP($H71,'Techno-Economic Assumptions'!$C$5:$I$17,6,FALSE)*$M71,0.5)),"")</f>
        <v/>
      </c>
      <c r="Q71" s="95" t="str">
        <f>IFERROR($P71*'Techno-Economic Assumptions'!$D$22,"")</f>
        <v/>
      </c>
      <c r="R71" s="95" t="str">
        <f>IF(ISNUMBER(P71),'Techno-Economic Assumptions'!$D$24,"")</f>
        <v/>
      </c>
      <c r="S71" s="94" t="str">
        <f>IF(G71&gt;0,(CEILING(VLOOKUP($H71,'Techno-Economic Assumptions'!$C$5:$I$17,7,FALSE)*$M71,5)),"")</f>
        <v/>
      </c>
      <c r="T71" s="38"/>
      <c r="U71" s="140" t="str">
        <f>IFERROR(IF(ISBLANK($T71),$S71,$T71)*'Techno-Economic Assumptions'!$D$25,"")</f>
        <v/>
      </c>
      <c r="V71" s="140" t="str">
        <f t="shared" si="6"/>
        <v/>
      </c>
      <c r="W71" s="140" t="str">
        <f>IFERROR(IF(ISBLANK($T71),$S71,$T71)*'Techno-Economic Assumptions'!$D$26,"")</f>
        <v/>
      </c>
      <c r="X71" s="140" t="str">
        <f t="shared" si="14"/>
        <v/>
      </c>
      <c r="Y71" s="141" t="str">
        <f>_xlfn.IFNA(VLOOKUP(I71,'Techno-Economic Assumptions'!$C$31:$D$34,2,FALSE),"")</f>
        <v/>
      </c>
      <c r="Z71" s="136" t="str">
        <f t="shared" si="9"/>
        <v/>
      </c>
      <c r="AA71" s="136" t="str">
        <f t="shared" si="8"/>
        <v/>
      </c>
      <c r="AB71" s="141" t="str">
        <f>IFERROR(Y71+'Techno-Economic Assumptions'!$D$30,"")</f>
        <v/>
      </c>
      <c r="AC71" s="136" t="str">
        <f t="shared" si="15"/>
        <v/>
      </c>
      <c r="AD71" s="136" t="str">
        <f t="shared" si="16"/>
        <v/>
      </c>
    </row>
    <row r="72" spans="2:30" x14ac:dyDescent="0.3">
      <c r="B72" s="36"/>
      <c r="C72" s="36"/>
      <c r="D72" s="37"/>
      <c r="E72" s="37"/>
      <c r="F72" s="38"/>
      <c r="G72" s="41"/>
      <c r="H72" s="36"/>
      <c r="I72" s="36"/>
      <c r="J72" s="38"/>
      <c r="K72" s="40"/>
      <c r="L72" s="93" t="str">
        <f t="shared" si="10"/>
        <v/>
      </c>
      <c r="M72" s="93" t="str">
        <f t="shared" si="11"/>
        <v/>
      </c>
      <c r="N72" s="93" t="str">
        <f t="shared" si="12"/>
        <v/>
      </c>
      <c r="O72" s="93" t="str">
        <f t="shared" si="13"/>
        <v/>
      </c>
      <c r="P72" s="94" t="str">
        <f>IF(G72&gt;0,(CEILING(VLOOKUP($H72,'Techno-Economic Assumptions'!$C$5:$I$17,6,FALSE)*$M72,0.5)),"")</f>
        <v/>
      </c>
      <c r="Q72" s="95" t="str">
        <f>IFERROR($P72*'Techno-Economic Assumptions'!$D$22,"")</f>
        <v/>
      </c>
      <c r="R72" s="95" t="str">
        <f>IF(ISNUMBER(P72),'Techno-Economic Assumptions'!$D$24,"")</f>
        <v/>
      </c>
      <c r="S72" s="94" t="str">
        <f>IF(G72&gt;0,(CEILING(VLOOKUP($H72,'Techno-Economic Assumptions'!$C$5:$I$17,7,FALSE)*$M72,5)),"")</f>
        <v/>
      </c>
      <c r="T72" s="38"/>
      <c r="U72" s="140" t="str">
        <f>IFERROR(IF(ISBLANK($T72),$S72,$T72)*'Techno-Economic Assumptions'!$D$25,"")</f>
        <v/>
      </c>
      <c r="V72" s="140" t="str">
        <f t="shared" si="6"/>
        <v/>
      </c>
      <c r="W72" s="140" t="str">
        <f>IFERROR(IF(ISBLANK($T72),$S72,$T72)*'Techno-Economic Assumptions'!$D$26,"")</f>
        <v/>
      </c>
      <c r="X72" s="140" t="str">
        <f t="shared" si="14"/>
        <v/>
      </c>
      <c r="Y72" s="141" t="str">
        <f>_xlfn.IFNA(VLOOKUP(I72,'Techno-Economic Assumptions'!$C$31:$D$34,2,FALSE),"")</f>
        <v/>
      </c>
      <c r="Z72" s="136" t="str">
        <f t="shared" si="9"/>
        <v/>
      </c>
      <c r="AA72" s="136" t="str">
        <f t="shared" si="8"/>
        <v/>
      </c>
      <c r="AB72" s="141" t="str">
        <f>IFERROR(Y72+'Techno-Economic Assumptions'!$D$30,"")</f>
        <v/>
      </c>
      <c r="AC72" s="136" t="str">
        <f t="shared" si="15"/>
        <v/>
      </c>
      <c r="AD72" s="136" t="str">
        <f t="shared" si="16"/>
        <v/>
      </c>
    </row>
    <row r="73" spans="2:30" x14ac:dyDescent="0.3">
      <c r="B73" s="36"/>
      <c r="C73" s="36"/>
      <c r="D73" s="37"/>
      <c r="E73" s="37"/>
      <c r="F73" s="38"/>
      <c r="G73" s="41"/>
      <c r="H73" s="36"/>
      <c r="I73" s="36"/>
      <c r="J73" s="35"/>
      <c r="K73" s="42"/>
      <c r="L73" s="93" t="str">
        <f t="shared" si="10"/>
        <v/>
      </c>
      <c r="M73" s="93" t="str">
        <f t="shared" si="11"/>
        <v/>
      </c>
      <c r="N73" s="93" t="str">
        <f t="shared" si="12"/>
        <v/>
      </c>
      <c r="O73" s="93" t="str">
        <f t="shared" si="13"/>
        <v/>
      </c>
      <c r="P73" s="94" t="str">
        <f>IF(G73&gt;0,(CEILING(VLOOKUP($H73,'Techno-Economic Assumptions'!$C$5:$I$17,6,FALSE)*$M73,0.5)),"")</f>
        <v/>
      </c>
      <c r="Q73" s="95" t="str">
        <f>IFERROR($P73*'Techno-Economic Assumptions'!$D$22,"")</f>
        <v/>
      </c>
      <c r="R73" s="95" t="str">
        <f>IF(ISNUMBER(P73),'Techno-Economic Assumptions'!$D$24,"")</f>
        <v/>
      </c>
      <c r="S73" s="94" t="str">
        <f>IF(G73&gt;0,(CEILING(VLOOKUP($H73,'Techno-Economic Assumptions'!$C$5:$I$17,7,FALSE)*$M73,5)),"")</f>
        <v/>
      </c>
      <c r="T73" s="35"/>
      <c r="U73" s="140" t="str">
        <f>IFERROR(IF(ISBLANK($T73),$S73,$T73)*'Techno-Economic Assumptions'!$D$25,"")</f>
        <v/>
      </c>
      <c r="V73" s="140" t="str">
        <f t="shared" si="6"/>
        <v/>
      </c>
      <c r="W73" s="140" t="str">
        <f>IFERROR(IF(ISBLANK($T73),$S73,$T73)*'Techno-Economic Assumptions'!$D$26,"")</f>
        <v/>
      </c>
      <c r="X73" s="140" t="str">
        <f t="shared" si="14"/>
        <v/>
      </c>
      <c r="Y73" s="141" t="str">
        <f>_xlfn.IFNA(VLOOKUP(I73,'Techno-Economic Assumptions'!$C$31:$D$34,2,FALSE),"")</f>
        <v/>
      </c>
      <c r="Z73" s="136" t="str">
        <f t="shared" si="9"/>
        <v/>
      </c>
      <c r="AA73" s="136" t="str">
        <f t="shared" si="8"/>
        <v/>
      </c>
      <c r="AB73" s="141" t="str">
        <f>IFERROR(Y73+'Techno-Economic Assumptions'!$D$30,"")</f>
        <v/>
      </c>
      <c r="AC73" s="136" t="str">
        <f t="shared" si="15"/>
        <v/>
      </c>
      <c r="AD73" s="136" t="str">
        <f t="shared" si="16"/>
        <v/>
      </c>
    </row>
    <row r="74" spans="2:30" x14ac:dyDescent="0.3">
      <c r="B74" s="36"/>
      <c r="C74" s="36"/>
      <c r="D74" s="37"/>
      <c r="E74" s="37"/>
      <c r="F74" s="38"/>
      <c r="G74" s="41"/>
      <c r="H74" s="36"/>
      <c r="I74" s="36"/>
      <c r="J74" s="35"/>
      <c r="K74" s="42"/>
      <c r="L74" s="93" t="str">
        <f t="shared" si="10"/>
        <v/>
      </c>
      <c r="M74" s="93" t="str">
        <f t="shared" si="11"/>
        <v/>
      </c>
      <c r="N74" s="93" t="str">
        <f t="shared" si="12"/>
        <v/>
      </c>
      <c r="O74" s="93" t="str">
        <f t="shared" si="13"/>
        <v/>
      </c>
      <c r="P74" s="94" t="str">
        <f>IF(G74&gt;0,(CEILING(VLOOKUP($H74,'Techno-Economic Assumptions'!$C$5:$I$17,6,FALSE)*$M74,0.5)),"")</f>
        <v/>
      </c>
      <c r="Q74" s="95" t="str">
        <f>IFERROR($P74*'Techno-Economic Assumptions'!$D$22,"")</f>
        <v/>
      </c>
      <c r="R74" s="95" t="str">
        <f>IF(ISNUMBER(P74),'Techno-Economic Assumptions'!$D$24,"")</f>
        <v/>
      </c>
      <c r="S74" s="94" t="str">
        <f>IF(G74&gt;0,(CEILING(VLOOKUP($H74,'Techno-Economic Assumptions'!$C$5:$I$17,7,FALSE)*$M74,5)),"")</f>
        <v/>
      </c>
      <c r="T74" s="35"/>
      <c r="U74" s="140" t="str">
        <f>IFERROR(IF(ISBLANK($T74),$S74,$T74)*'Techno-Economic Assumptions'!$D$25,"")</f>
        <v/>
      </c>
      <c r="V74" s="140" t="str">
        <f t="shared" si="6"/>
        <v/>
      </c>
      <c r="W74" s="140" t="str">
        <f>IFERROR(IF(ISBLANK($T74),$S74,$T74)*'Techno-Economic Assumptions'!$D$26,"")</f>
        <v/>
      </c>
      <c r="X74" s="140" t="str">
        <f t="shared" si="14"/>
        <v/>
      </c>
      <c r="Y74" s="141" t="str">
        <f>_xlfn.IFNA(VLOOKUP(I74,'Techno-Economic Assumptions'!$C$31:$D$34,2,FALSE),"")</f>
        <v/>
      </c>
      <c r="Z74" s="136" t="str">
        <f t="shared" si="9"/>
        <v/>
      </c>
      <c r="AA74" s="136" t="str">
        <f t="shared" si="8"/>
        <v/>
      </c>
      <c r="AB74" s="141" t="str">
        <f>IFERROR(Y74+'Techno-Economic Assumptions'!$D$30,"")</f>
        <v/>
      </c>
      <c r="AC74" s="136" t="str">
        <f t="shared" si="15"/>
        <v/>
      </c>
      <c r="AD74" s="136" t="str">
        <f t="shared" si="16"/>
        <v/>
      </c>
    </row>
    <row r="75" spans="2:30" x14ac:dyDescent="0.3">
      <c r="B75" s="36"/>
      <c r="C75" s="36"/>
      <c r="D75" s="37"/>
      <c r="E75" s="37"/>
      <c r="F75" s="38"/>
      <c r="G75" s="41"/>
      <c r="H75" s="36"/>
      <c r="I75" s="36"/>
      <c r="J75" s="35"/>
      <c r="K75" s="42"/>
      <c r="L75" s="93" t="str">
        <f t="shared" si="10"/>
        <v/>
      </c>
      <c r="M75" s="93" t="str">
        <f t="shared" si="11"/>
        <v/>
      </c>
      <c r="N75" s="93" t="str">
        <f t="shared" si="12"/>
        <v/>
      </c>
      <c r="O75" s="93" t="str">
        <f t="shared" si="13"/>
        <v/>
      </c>
      <c r="P75" s="94" t="str">
        <f>IF(G75&gt;0,(CEILING(VLOOKUP($H75,'Techno-Economic Assumptions'!$C$5:$I$17,6,FALSE)*$M75,0.5)),"")</f>
        <v/>
      </c>
      <c r="Q75" s="95" t="str">
        <f>IFERROR($P75*'Techno-Economic Assumptions'!$D$22,"")</f>
        <v/>
      </c>
      <c r="R75" s="95" t="str">
        <f>IF(ISNUMBER(P75),'Techno-Economic Assumptions'!$D$24,"")</f>
        <v/>
      </c>
      <c r="S75" s="94" t="str">
        <f>IF(G75&gt;0,(CEILING(VLOOKUP($H75,'Techno-Economic Assumptions'!$C$5:$I$17,7,FALSE)*$M75,5)),"")</f>
        <v/>
      </c>
      <c r="T75" s="35"/>
      <c r="U75" s="140" t="str">
        <f>IFERROR(IF(ISBLANK($T75),$S75,$T75)*'Techno-Economic Assumptions'!$D$25,"")</f>
        <v/>
      </c>
      <c r="V75" s="140" t="str">
        <f t="shared" si="6"/>
        <v/>
      </c>
      <c r="W75" s="140" t="str">
        <f>IFERROR(IF(ISBLANK($T75),$S75,$T75)*'Techno-Economic Assumptions'!$D$26,"")</f>
        <v/>
      </c>
      <c r="X75" s="140" t="str">
        <f t="shared" si="14"/>
        <v/>
      </c>
      <c r="Y75" s="141" t="str">
        <f>_xlfn.IFNA(VLOOKUP(I75,'Techno-Economic Assumptions'!$C$31:$D$34,2,FALSE),"")</f>
        <v/>
      </c>
      <c r="Z75" s="136" t="str">
        <f t="shared" si="9"/>
        <v/>
      </c>
      <c r="AA75" s="136" t="str">
        <f t="shared" si="8"/>
        <v/>
      </c>
      <c r="AB75" s="141" t="str">
        <f>IFERROR(Y75+'Techno-Economic Assumptions'!$D$30,"")</f>
        <v/>
      </c>
      <c r="AC75" s="136" t="str">
        <f t="shared" si="15"/>
        <v/>
      </c>
      <c r="AD75" s="136" t="str">
        <f t="shared" si="16"/>
        <v/>
      </c>
    </row>
    <row r="76" spans="2:30" x14ac:dyDescent="0.3">
      <c r="B76" s="36"/>
      <c r="C76" s="36"/>
      <c r="D76" s="37"/>
      <c r="E76" s="37"/>
      <c r="F76" s="38"/>
      <c r="G76" s="41"/>
      <c r="H76" s="36"/>
      <c r="I76" s="36"/>
      <c r="J76" s="35"/>
      <c r="K76" s="42"/>
      <c r="L76" s="93" t="str">
        <f t="shared" si="10"/>
        <v/>
      </c>
      <c r="M76" s="93" t="str">
        <f t="shared" si="11"/>
        <v/>
      </c>
      <c r="N76" s="93" t="str">
        <f t="shared" si="12"/>
        <v/>
      </c>
      <c r="O76" s="93" t="str">
        <f t="shared" si="13"/>
        <v/>
      </c>
      <c r="P76" s="94" t="str">
        <f>IF(G76&gt;0,(CEILING(VLOOKUP($H76,'Techno-Economic Assumptions'!$C$5:$I$17,6,FALSE)*$M76,0.5)),"")</f>
        <v/>
      </c>
      <c r="Q76" s="95" t="str">
        <f>IFERROR($P76*'Techno-Economic Assumptions'!$D$22,"")</f>
        <v/>
      </c>
      <c r="R76" s="95" t="str">
        <f>IF(ISNUMBER(P76),'Techno-Economic Assumptions'!$D$24,"")</f>
        <v/>
      </c>
      <c r="S76" s="94" t="str">
        <f>IF(G76&gt;0,(CEILING(VLOOKUP($H76,'Techno-Economic Assumptions'!$C$5:$I$17,7,FALSE)*$M76,5)),"")</f>
        <v/>
      </c>
      <c r="T76" s="35"/>
      <c r="U76" s="140" t="str">
        <f>IFERROR(IF(ISBLANK($T76),$S76,$T76)*'Techno-Economic Assumptions'!$D$25,"")</f>
        <v/>
      </c>
      <c r="V76" s="140" t="str">
        <f t="shared" si="6"/>
        <v/>
      </c>
      <c r="W76" s="140" t="str">
        <f>IFERROR(IF(ISBLANK($T76),$S76,$T76)*'Techno-Economic Assumptions'!$D$26,"")</f>
        <v/>
      </c>
      <c r="X76" s="140" t="str">
        <f t="shared" si="14"/>
        <v/>
      </c>
      <c r="Y76" s="141" t="str">
        <f>_xlfn.IFNA(VLOOKUP(I76,'Techno-Economic Assumptions'!$C$31:$D$34,2,FALSE),"")</f>
        <v/>
      </c>
      <c r="Z76" s="136" t="str">
        <f t="shared" si="9"/>
        <v/>
      </c>
      <c r="AA76" s="136" t="str">
        <f t="shared" si="8"/>
        <v/>
      </c>
      <c r="AB76" s="141" t="str">
        <f>IFERROR(Y76+'Techno-Economic Assumptions'!$D$30,"")</f>
        <v/>
      </c>
      <c r="AC76" s="136" t="str">
        <f t="shared" si="15"/>
        <v/>
      </c>
      <c r="AD76" s="136" t="str">
        <f t="shared" si="16"/>
        <v/>
      </c>
    </row>
    <row r="77" spans="2:30" x14ac:dyDescent="0.3">
      <c r="B77" s="36"/>
      <c r="C77" s="36"/>
      <c r="D77" s="37"/>
      <c r="E77" s="37"/>
      <c r="F77" s="38"/>
      <c r="G77" s="41"/>
      <c r="H77" s="36"/>
      <c r="I77" s="36"/>
      <c r="J77" s="35"/>
      <c r="K77" s="42"/>
      <c r="L77" s="93" t="str">
        <f t="shared" si="10"/>
        <v/>
      </c>
      <c r="M77" s="93" t="str">
        <f t="shared" si="11"/>
        <v/>
      </c>
      <c r="N77" s="93" t="str">
        <f t="shared" si="12"/>
        <v/>
      </c>
      <c r="O77" s="93" t="str">
        <f t="shared" si="13"/>
        <v/>
      </c>
      <c r="P77" s="94" t="str">
        <f>IF(G77&gt;0,(CEILING(VLOOKUP($H77,'Techno-Economic Assumptions'!$C$5:$I$17,6,FALSE)*$M77,0.5)),"")</f>
        <v/>
      </c>
      <c r="Q77" s="95" t="str">
        <f>IFERROR($P77*'Techno-Economic Assumptions'!$D$22,"")</f>
        <v/>
      </c>
      <c r="R77" s="95" t="str">
        <f>IF(ISNUMBER(P77),'Techno-Economic Assumptions'!$D$24,"")</f>
        <v/>
      </c>
      <c r="S77" s="94" t="str">
        <f>IF(G77&gt;0,(CEILING(VLOOKUP($H77,'Techno-Economic Assumptions'!$C$5:$I$17,7,FALSE)*$M77,5)),"")</f>
        <v/>
      </c>
      <c r="T77" s="35"/>
      <c r="U77" s="140" t="str">
        <f>IFERROR(IF(ISBLANK($T77),$S77,$T77)*'Techno-Economic Assumptions'!$D$25,"")</f>
        <v/>
      </c>
      <c r="V77" s="140" t="str">
        <f t="shared" si="6"/>
        <v/>
      </c>
      <c r="W77" s="140" t="str">
        <f>IFERROR(IF(ISBLANK($T77),$S77,$T77)*'Techno-Economic Assumptions'!$D$26,"")</f>
        <v/>
      </c>
      <c r="X77" s="140" t="str">
        <f t="shared" si="14"/>
        <v/>
      </c>
      <c r="Y77" s="141" t="str">
        <f>_xlfn.IFNA(VLOOKUP(I77,'Techno-Economic Assumptions'!$C$31:$D$34,2,FALSE),"")</f>
        <v/>
      </c>
      <c r="Z77" s="136" t="str">
        <f t="shared" si="9"/>
        <v/>
      </c>
      <c r="AA77" s="136" t="str">
        <f t="shared" si="8"/>
        <v/>
      </c>
      <c r="AB77" s="141" t="str">
        <f>IFERROR(Y77+'Techno-Economic Assumptions'!$D$30,"")</f>
        <v/>
      </c>
      <c r="AC77" s="136" t="str">
        <f t="shared" si="15"/>
        <v/>
      </c>
      <c r="AD77" s="136" t="str">
        <f t="shared" si="16"/>
        <v/>
      </c>
    </row>
    <row r="78" spans="2:30" x14ac:dyDescent="0.3">
      <c r="B78" s="36"/>
      <c r="C78" s="36"/>
      <c r="D78" s="37"/>
      <c r="E78" s="37"/>
      <c r="F78" s="38"/>
      <c r="G78" s="41"/>
      <c r="H78" s="36"/>
      <c r="I78" s="36"/>
      <c r="J78" s="35"/>
      <c r="K78" s="42"/>
      <c r="L78" s="93" t="str">
        <f t="shared" si="10"/>
        <v/>
      </c>
      <c r="M78" s="93" t="str">
        <f t="shared" si="11"/>
        <v/>
      </c>
      <c r="N78" s="93" t="str">
        <f t="shared" si="12"/>
        <v/>
      </c>
      <c r="O78" s="93" t="str">
        <f t="shared" si="13"/>
        <v/>
      </c>
      <c r="P78" s="94" t="str">
        <f>IF(G78&gt;0,(CEILING(VLOOKUP($H78,'Techno-Economic Assumptions'!$C$5:$I$17,6,FALSE)*$M78,0.5)),"")</f>
        <v/>
      </c>
      <c r="Q78" s="95" t="str">
        <f>IFERROR($P78*'Techno-Economic Assumptions'!$D$22,"")</f>
        <v/>
      </c>
      <c r="R78" s="95" t="str">
        <f>IF(ISNUMBER(P78),'Techno-Economic Assumptions'!$D$24,"")</f>
        <v/>
      </c>
      <c r="S78" s="94" t="str">
        <f>IF(G78&gt;0,(CEILING(VLOOKUP($H78,'Techno-Economic Assumptions'!$C$5:$I$17,7,FALSE)*$M78,5)),"")</f>
        <v/>
      </c>
      <c r="T78" s="35"/>
      <c r="U78" s="140" t="str">
        <f>IFERROR(IF(ISBLANK($T78),$S78,$T78)*'Techno-Economic Assumptions'!$D$25,"")</f>
        <v/>
      </c>
      <c r="V78" s="140" t="str">
        <f t="shared" si="6"/>
        <v/>
      </c>
      <c r="W78" s="140" t="str">
        <f>IFERROR(IF(ISBLANK($T78),$S78,$T78)*'Techno-Economic Assumptions'!$D$26,"")</f>
        <v/>
      </c>
      <c r="X78" s="140" t="str">
        <f t="shared" si="14"/>
        <v/>
      </c>
      <c r="Y78" s="141" t="str">
        <f>_xlfn.IFNA(VLOOKUP(I78,'Techno-Economic Assumptions'!$C$31:$D$34,2,FALSE),"")</f>
        <v/>
      </c>
      <c r="Z78" s="136" t="str">
        <f t="shared" si="9"/>
        <v/>
      </c>
      <c r="AA78" s="136" t="str">
        <f t="shared" si="8"/>
        <v/>
      </c>
      <c r="AB78" s="141" t="str">
        <f>IFERROR(Y78+'Techno-Economic Assumptions'!$D$30,"")</f>
        <v/>
      </c>
      <c r="AC78" s="136" t="str">
        <f t="shared" si="15"/>
        <v/>
      </c>
      <c r="AD78" s="136" t="str">
        <f t="shared" si="16"/>
        <v/>
      </c>
    </row>
    <row r="79" spans="2:30" x14ac:dyDescent="0.3">
      <c r="B79" s="36"/>
      <c r="C79" s="36"/>
      <c r="D79" s="37"/>
      <c r="E79" s="37"/>
      <c r="F79" s="38"/>
      <c r="G79" s="41"/>
      <c r="H79" s="36"/>
      <c r="I79" s="36"/>
      <c r="J79" s="35"/>
      <c r="K79" s="42"/>
      <c r="L79" s="93" t="str">
        <f t="shared" si="10"/>
        <v/>
      </c>
      <c r="M79" s="93" t="str">
        <f t="shared" si="11"/>
        <v/>
      </c>
      <c r="N79" s="93" t="str">
        <f t="shared" si="12"/>
        <v/>
      </c>
      <c r="O79" s="93" t="str">
        <f t="shared" si="13"/>
        <v/>
      </c>
      <c r="P79" s="94" t="str">
        <f>IF(G79&gt;0,(CEILING(VLOOKUP($H79,'Techno-Economic Assumptions'!$C$5:$I$17,6,FALSE)*$M79,0.5)),"")</f>
        <v/>
      </c>
      <c r="Q79" s="95" t="str">
        <f>IFERROR($P79*'Techno-Economic Assumptions'!$D$22,"")</f>
        <v/>
      </c>
      <c r="R79" s="95" t="str">
        <f>IF(ISNUMBER(P79),'Techno-Economic Assumptions'!$D$24,"")</f>
        <v/>
      </c>
      <c r="S79" s="94" t="str">
        <f>IF(G79&gt;0,(CEILING(VLOOKUP($H79,'Techno-Economic Assumptions'!$C$5:$I$17,7,FALSE)*$M79,5)),"")</f>
        <v/>
      </c>
      <c r="T79" s="35"/>
      <c r="U79" s="140" t="str">
        <f>IFERROR(IF(ISBLANK($T79),$S79,$T79)*'Techno-Economic Assumptions'!$D$25,"")</f>
        <v/>
      </c>
      <c r="V79" s="140" t="str">
        <f t="shared" si="6"/>
        <v/>
      </c>
      <c r="W79" s="140" t="str">
        <f>IFERROR(IF(ISBLANK($T79),$S79,$T79)*'Techno-Economic Assumptions'!$D$26,"")</f>
        <v/>
      </c>
      <c r="X79" s="140" t="str">
        <f t="shared" si="14"/>
        <v/>
      </c>
      <c r="Y79" s="141" t="str">
        <f>_xlfn.IFNA(VLOOKUP(I79,'Techno-Economic Assumptions'!$C$31:$D$34,2,FALSE),"")</f>
        <v/>
      </c>
      <c r="Z79" s="136" t="str">
        <f t="shared" si="9"/>
        <v/>
      </c>
      <c r="AA79" s="136" t="str">
        <f t="shared" si="8"/>
        <v/>
      </c>
      <c r="AB79" s="141" t="str">
        <f>IFERROR(Y79+'Techno-Economic Assumptions'!$D$30,"")</f>
        <v/>
      </c>
      <c r="AC79" s="136" t="str">
        <f t="shared" si="15"/>
        <v/>
      </c>
      <c r="AD79" s="136" t="str">
        <f t="shared" si="16"/>
        <v/>
      </c>
    </row>
    <row r="80" spans="2:30" x14ac:dyDescent="0.3">
      <c r="B80" s="36"/>
      <c r="C80" s="36"/>
      <c r="D80" s="37"/>
      <c r="E80" s="37"/>
      <c r="F80" s="38"/>
      <c r="G80" s="41"/>
      <c r="H80" s="36"/>
      <c r="I80" s="36"/>
      <c r="J80" s="35"/>
      <c r="K80" s="42"/>
      <c r="L80" s="93" t="str">
        <f t="shared" si="10"/>
        <v/>
      </c>
      <c r="M80" s="93" t="str">
        <f t="shared" si="11"/>
        <v/>
      </c>
      <c r="N80" s="93" t="str">
        <f t="shared" si="12"/>
        <v/>
      </c>
      <c r="O80" s="93" t="str">
        <f t="shared" si="13"/>
        <v/>
      </c>
      <c r="P80" s="94" t="str">
        <f>IF(G80&gt;0,(CEILING(VLOOKUP($H80,'Techno-Economic Assumptions'!$C$5:$I$17,6,FALSE)*$M80,0.5)),"")</f>
        <v/>
      </c>
      <c r="Q80" s="95" t="str">
        <f>IFERROR($P80*'Techno-Economic Assumptions'!$D$22,"")</f>
        <v/>
      </c>
      <c r="R80" s="95" t="str">
        <f>IF(ISNUMBER(P80),'Techno-Economic Assumptions'!$D$24,"")</f>
        <v/>
      </c>
      <c r="S80" s="94" t="str">
        <f>IF(G80&gt;0,(CEILING(VLOOKUP($H80,'Techno-Economic Assumptions'!$C$5:$I$17,7,FALSE)*$M80,5)),"")</f>
        <v/>
      </c>
      <c r="T80" s="35"/>
      <c r="U80" s="140" t="str">
        <f>IFERROR(IF(ISBLANK($T80),$S80,$T80)*'Techno-Economic Assumptions'!$D$25,"")</f>
        <v/>
      </c>
      <c r="V80" s="140" t="str">
        <f t="shared" si="6"/>
        <v/>
      </c>
      <c r="W80" s="140" t="str">
        <f>IFERROR(IF(ISBLANK($T80),$S80,$T80)*'Techno-Economic Assumptions'!$D$26,"")</f>
        <v/>
      </c>
      <c r="X80" s="140" t="str">
        <f t="shared" si="14"/>
        <v/>
      </c>
      <c r="Y80" s="141" t="str">
        <f>_xlfn.IFNA(VLOOKUP(I80,'Techno-Economic Assumptions'!$C$31:$D$34,2,FALSE),"")</f>
        <v/>
      </c>
      <c r="Z80" s="136" t="str">
        <f t="shared" si="9"/>
        <v/>
      </c>
      <c r="AA80" s="136" t="str">
        <f t="shared" si="8"/>
        <v/>
      </c>
      <c r="AB80" s="141" t="str">
        <f>IFERROR(Y80+'Techno-Economic Assumptions'!$D$30,"")</f>
        <v/>
      </c>
      <c r="AC80" s="136" t="str">
        <f t="shared" si="15"/>
        <v/>
      </c>
      <c r="AD80" s="136" t="str">
        <f t="shared" si="16"/>
        <v/>
      </c>
    </row>
    <row r="81" spans="2:30" x14ac:dyDescent="0.3">
      <c r="B81" s="36"/>
      <c r="C81" s="36"/>
      <c r="D81" s="37"/>
      <c r="E81" s="37"/>
      <c r="F81" s="38"/>
      <c r="G81" s="41"/>
      <c r="H81" s="36"/>
      <c r="I81" s="36"/>
      <c r="J81" s="35"/>
      <c r="K81" s="42"/>
      <c r="L81" s="93" t="str">
        <f t="shared" si="10"/>
        <v/>
      </c>
      <c r="M81" s="93" t="str">
        <f t="shared" si="11"/>
        <v/>
      </c>
      <c r="N81" s="93" t="str">
        <f t="shared" si="12"/>
        <v/>
      </c>
      <c r="O81" s="93" t="str">
        <f t="shared" si="13"/>
        <v/>
      </c>
      <c r="P81" s="94" t="str">
        <f>IF(G81&gt;0,(CEILING(VLOOKUP($H81,'Techno-Economic Assumptions'!$C$5:$I$17,6,FALSE)*$M81,0.5)),"")</f>
        <v/>
      </c>
      <c r="Q81" s="95" t="str">
        <f>IFERROR($P81*'Techno-Economic Assumptions'!$D$22,"")</f>
        <v/>
      </c>
      <c r="R81" s="95" t="str">
        <f>IF(ISNUMBER(P81),'Techno-Economic Assumptions'!$D$24,"")</f>
        <v/>
      </c>
      <c r="S81" s="94" t="str">
        <f>IF(G81&gt;0,(CEILING(VLOOKUP($H81,'Techno-Economic Assumptions'!$C$5:$I$17,7,FALSE)*$M81,5)),"")</f>
        <v/>
      </c>
      <c r="T81" s="35"/>
      <c r="U81" s="140" t="str">
        <f>IFERROR(IF(ISBLANK($T81),$S81,$T81)*'Techno-Economic Assumptions'!$D$25,"")</f>
        <v/>
      </c>
      <c r="V81" s="140" t="str">
        <f t="shared" si="6"/>
        <v/>
      </c>
      <c r="W81" s="140" t="str">
        <f>IFERROR(IF(ISBLANK($T81),$S81,$T81)*'Techno-Economic Assumptions'!$D$26,"")</f>
        <v/>
      </c>
      <c r="X81" s="140" t="str">
        <f t="shared" si="14"/>
        <v/>
      </c>
      <c r="Y81" s="141" t="str">
        <f>_xlfn.IFNA(VLOOKUP(I81,'Techno-Economic Assumptions'!$C$31:$D$34,2,FALSE),"")</f>
        <v/>
      </c>
      <c r="Z81" s="136" t="str">
        <f t="shared" si="9"/>
        <v/>
      </c>
      <c r="AA81" s="136" t="str">
        <f t="shared" si="8"/>
        <v/>
      </c>
      <c r="AB81" s="141" t="str">
        <f>IFERROR(Y81+'Techno-Economic Assumptions'!$D$30,"")</f>
        <v/>
      </c>
      <c r="AC81" s="136" t="str">
        <f t="shared" si="15"/>
        <v/>
      </c>
      <c r="AD81" s="136" t="str">
        <f t="shared" si="16"/>
        <v/>
      </c>
    </row>
    <row r="82" spans="2:30" x14ac:dyDescent="0.3">
      <c r="B82" s="36"/>
      <c r="C82" s="36"/>
      <c r="D82" s="37"/>
      <c r="E82" s="37"/>
      <c r="F82" s="38"/>
      <c r="G82" s="41"/>
      <c r="H82" s="36"/>
      <c r="I82" s="36"/>
      <c r="J82" s="35"/>
      <c r="K82" s="42"/>
      <c r="L82" s="93" t="str">
        <f t="shared" si="10"/>
        <v/>
      </c>
      <c r="M82" s="93" t="str">
        <f t="shared" si="11"/>
        <v/>
      </c>
      <c r="N82" s="93" t="str">
        <f t="shared" si="12"/>
        <v/>
      </c>
      <c r="O82" s="93" t="str">
        <f t="shared" si="13"/>
        <v/>
      </c>
      <c r="P82" s="94" t="str">
        <f>IF(G82&gt;0,(CEILING(VLOOKUP($H82,'Techno-Economic Assumptions'!$C$5:$I$17,6,FALSE)*$M82,0.5)),"")</f>
        <v/>
      </c>
      <c r="Q82" s="95" t="str">
        <f>IFERROR($P82*'Techno-Economic Assumptions'!$D$22,"")</f>
        <v/>
      </c>
      <c r="R82" s="95" t="str">
        <f>IF(ISNUMBER(P82),'Techno-Economic Assumptions'!$D$24,"")</f>
        <v/>
      </c>
      <c r="S82" s="94" t="str">
        <f>IF(G82&gt;0,(CEILING(VLOOKUP($H82,'Techno-Economic Assumptions'!$C$5:$I$17,7,FALSE)*$M82,5)),"")</f>
        <v/>
      </c>
      <c r="T82" s="35"/>
      <c r="U82" s="140" t="str">
        <f>IFERROR(IF(ISBLANK($T82),$S82,$T82)*'Techno-Economic Assumptions'!$D$25,"")</f>
        <v/>
      </c>
      <c r="V82" s="140" t="str">
        <f t="shared" si="6"/>
        <v/>
      </c>
      <c r="W82" s="140" t="str">
        <f>IFERROR(IF(ISBLANK($T82),$S82,$T82)*'Techno-Economic Assumptions'!$D$26,"")</f>
        <v/>
      </c>
      <c r="X82" s="140" t="str">
        <f t="shared" si="14"/>
        <v/>
      </c>
      <c r="Y82" s="141" t="str">
        <f>_xlfn.IFNA(VLOOKUP(I82,'Techno-Economic Assumptions'!$C$31:$D$34,2,FALSE),"")</f>
        <v/>
      </c>
      <c r="Z82" s="136" t="str">
        <f t="shared" si="9"/>
        <v/>
      </c>
      <c r="AA82" s="136" t="str">
        <f t="shared" si="8"/>
        <v/>
      </c>
      <c r="AB82" s="141" t="str">
        <f>IFERROR(Y82+'Techno-Economic Assumptions'!$D$30,"")</f>
        <v/>
      </c>
      <c r="AC82" s="136" t="str">
        <f t="shared" si="15"/>
        <v/>
      </c>
      <c r="AD82" s="136" t="str">
        <f t="shared" si="16"/>
        <v/>
      </c>
    </row>
    <row r="83" spans="2:30" x14ac:dyDescent="0.3">
      <c r="B83" s="36"/>
      <c r="C83" s="36"/>
      <c r="D83" s="37"/>
      <c r="E83" s="37"/>
      <c r="F83" s="38"/>
      <c r="G83" s="41"/>
      <c r="H83" s="36"/>
      <c r="I83" s="36"/>
      <c r="J83" s="35"/>
      <c r="K83" s="42"/>
      <c r="L83" s="93" t="str">
        <f t="shared" si="10"/>
        <v/>
      </c>
      <c r="M83" s="93" t="str">
        <f t="shared" si="11"/>
        <v/>
      </c>
      <c r="N83" s="93" t="str">
        <f t="shared" si="12"/>
        <v/>
      </c>
      <c r="O83" s="93" t="str">
        <f t="shared" si="13"/>
        <v/>
      </c>
      <c r="P83" s="94" t="str">
        <f>IF(G83&gt;0,(CEILING(VLOOKUP($H83,'Techno-Economic Assumptions'!$C$5:$I$17,6,FALSE)*$M83,0.5)),"")</f>
        <v/>
      </c>
      <c r="Q83" s="95" t="str">
        <f>IFERROR($P83*'Techno-Economic Assumptions'!$D$22,"")</f>
        <v/>
      </c>
      <c r="R83" s="95" t="str">
        <f>IF(ISNUMBER(P83),'Techno-Economic Assumptions'!$D$24,"")</f>
        <v/>
      </c>
      <c r="S83" s="94" t="str">
        <f>IF(G83&gt;0,(CEILING(VLOOKUP($H83,'Techno-Economic Assumptions'!$C$5:$I$17,7,FALSE)*$M83,5)),"")</f>
        <v/>
      </c>
      <c r="T83" s="35"/>
      <c r="U83" s="140" t="str">
        <f>IFERROR(IF(ISBLANK($T83),$S83,$T83)*'Techno-Economic Assumptions'!$D$25,"")</f>
        <v/>
      </c>
      <c r="V83" s="140" t="str">
        <f t="shared" si="6"/>
        <v/>
      </c>
      <c r="W83" s="140" t="str">
        <f>IFERROR(IF(ISBLANK($T83),$S83,$T83)*'Techno-Economic Assumptions'!$D$26,"")</f>
        <v/>
      </c>
      <c r="X83" s="140" t="str">
        <f t="shared" si="14"/>
        <v/>
      </c>
      <c r="Y83" s="141" t="str">
        <f>_xlfn.IFNA(VLOOKUP(I83,'Techno-Economic Assumptions'!$C$31:$D$34,2,FALSE),"")</f>
        <v/>
      </c>
      <c r="Z83" s="136" t="str">
        <f t="shared" si="9"/>
        <v/>
      </c>
      <c r="AA83" s="136" t="str">
        <f t="shared" si="8"/>
        <v/>
      </c>
      <c r="AB83" s="141" t="str">
        <f>IFERROR(Y83+'Techno-Economic Assumptions'!$D$30,"")</f>
        <v/>
      </c>
      <c r="AC83" s="136" t="str">
        <f t="shared" si="15"/>
        <v/>
      </c>
      <c r="AD83" s="136" t="str">
        <f t="shared" si="16"/>
        <v/>
      </c>
    </row>
    <row r="84" spans="2:30" x14ac:dyDescent="0.3">
      <c r="B84" s="36"/>
      <c r="C84" s="36"/>
      <c r="D84" s="37"/>
      <c r="E84" s="37"/>
      <c r="F84" s="38"/>
      <c r="G84" s="41"/>
      <c r="H84" s="36"/>
      <c r="I84" s="36"/>
      <c r="J84" s="35"/>
      <c r="K84" s="42"/>
      <c r="L84" s="93" t="str">
        <f t="shared" si="10"/>
        <v/>
      </c>
      <c r="M84" s="93" t="str">
        <f t="shared" si="11"/>
        <v/>
      </c>
      <c r="N84" s="93" t="str">
        <f t="shared" si="12"/>
        <v/>
      </c>
      <c r="O84" s="93" t="str">
        <f t="shared" si="13"/>
        <v/>
      </c>
      <c r="P84" s="94" t="str">
        <f>IF(G84&gt;0,(CEILING(VLOOKUP($H84,'Techno-Economic Assumptions'!$C$5:$I$17,6,FALSE)*$M84,0.5)),"")</f>
        <v/>
      </c>
      <c r="Q84" s="95" t="str">
        <f>IFERROR($P84*'Techno-Economic Assumptions'!$D$22,"")</f>
        <v/>
      </c>
      <c r="R84" s="95" t="str">
        <f>IF(ISNUMBER(P84),'Techno-Economic Assumptions'!$D$24,"")</f>
        <v/>
      </c>
      <c r="S84" s="94" t="str">
        <f>IF(G84&gt;0,(CEILING(VLOOKUP($H84,'Techno-Economic Assumptions'!$C$5:$I$17,7,FALSE)*$M84,5)),"")</f>
        <v/>
      </c>
      <c r="T84" s="35"/>
      <c r="U84" s="140" t="str">
        <f>IFERROR(IF(ISBLANK($T84),$S84,$T84)*'Techno-Economic Assumptions'!$D$25,"")</f>
        <v/>
      </c>
      <c r="V84" s="140" t="str">
        <f t="shared" si="6"/>
        <v/>
      </c>
      <c r="W84" s="140" t="str">
        <f>IFERROR(IF(ISBLANK($T84),$S84,$T84)*'Techno-Economic Assumptions'!$D$26,"")</f>
        <v/>
      </c>
      <c r="X84" s="140" t="str">
        <f t="shared" si="14"/>
        <v/>
      </c>
      <c r="Y84" s="141" t="str">
        <f>_xlfn.IFNA(VLOOKUP(I84,'Techno-Economic Assumptions'!$C$31:$D$34,2,FALSE),"")</f>
        <v/>
      </c>
      <c r="Z84" s="136" t="str">
        <f t="shared" si="9"/>
        <v/>
      </c>
      <c r="AA84" s="136" t="str">
        <f t="shared" si="8"/>
        <v/>
      </c>
      <c r="AB84" s="141" t="str">
        <f>IFERROR(Y84+'Techno-Economic Assumptions'!$D$30,"")</f>
        <v/>
      </c>
      <c r="AC84" s="136" t="str">
        <f t="shared" si="15"/>
        <v/>
      </c>
      <c r="AD84" s="136" t="str">
        <f t="shared" si="16"/>
        <v/>
      </c>
    </row>
    <row r="85" spans="2:30" x14ac:dyDescent="0.3">
      <c r="B85" s="36"/>
      <c r="C85" s="36"/>
      <c r="D85" s="37"/>
      <c r="E85" s="37"/>
      <c r="F85" s="38"/>
      <c r="G85" s="41"/>
      <c r="H85" s="36"/>
      <c r="I85" s="36"/>
      <c r="J85" s="35"/>
      <c r="K85" s="42"/>
      <c r="L85" s="93" t="str">
        <f t="shared" si="10"/>
        <v/>
      </c>
      <c r="M85" s="93" t="str">
        <f t="shared" si="11"/>
        <v/>
      </c>
      <c r="N85" s="93" t="str">
        <f t="shared" si="12"/>
        <v/>
      </c>
      <c r="O85" s="93" t="str">
        <f t="shared" si="13"/>
        <v/>
      </c>
      <c r="P85" s="94" t="str">
        <f>IF(G85&gt;0,(CEILING(VLOOKUP($H85,'Techno-Economic Assumptions'!$C$5:$I$17,6,FALSE)*$M85,0.5)),"")</f>
        <v/>
      </c>
      <c r="Q85" s="95" t="str">
        <f>IFERROR($P85*'Techno-Economic Assumptions'!$D$22,"")</f>
        <v/>
      </c>
      <c r="R85" s="95" t="str">
        <f>IF(ISNUMBER(P85),'Techno-Economic Assumptions'!$D$24,"")</f>
        <v/>
      </c>
      <c r="S85" s="94" t="str">
        <f>IF(G85&gt;0,(CEILING(VLOOKUP($H85,'Techno-Economic Assumptions'!$C$5:$I$17,7,FALSE)*$M85,5)),"")</f>
        <v/>
      </c>
      <c r="T85" s="35"/>
      <c r="U85" s="140" t="str">
        <f>IFERROR(IF(ISBLANK($T85),$S85,$T85)*'Techno-Economic Assumptions'!$D$25,"")</f>
        <v/>
      </c>
      <c r="V85" s="140" t="str">
        <f t="shared" si="6"/>
        <v/>
      </c>
      <c r="W85" s="140" t="str">
        <f>IFERROR(IF(ISBLANK($T85),$S85,$T85)*'Techno-Economic Assumptions'!$D$26,"")</f>
        <v/>
      </c>
      <c r="X85" s="140" t="str">
        <f t="shared" si="14"/>
        <v/>
      </c>
      <c r="Y85" s="141" t="str">
        <f>_xlfn.IFNA(VLOOKUP(I85,'Techno-Economic Assumptions'!$C$31:$D$34,2,FALSE),"")</f>
        <v/>
      </c>
      <c r="Z85" s="136" t="str">
        <f t="shared" si="9"/>
        <v/>
      </c>
      <c r="AA85" s="136" t="str">
        <f t="shared" si="8"/>
        <v/>
      </c>
      <c r="AB85" s="141" t="str">
        <f>IFERROR(Y85+'Techno-Economic Assumptions'!$D$30,"")</f>
        <v/>
      </c>
      <c r="AC85" s="136" t="str">
        <f t="shared" si="15"/>
        <v/>
      </c>
      <c r="AD85" s="136" t="str">
        <f t="shared" si="16"/>
        <v/>
      </c>
    </row>
    <row r="86" spans="2:30" x14ac:dyDescent="0.3">
      <c r="B86" s="36"/>
      <c r="C86" s="36"/>
      <c r="D86" s="37"/>
      <c r="E86" s="37"/>
      <c r="F86" s="38"/>
      <c r="G86" s="41"/>
      <c r="H86" s="36"/>
      <c r="I86" s="36"/>
      <c r="J86" s="35"/>
      <c r="K86" s="42"/>
      <c r="L86" s="93" t="str">
        <f t="shared" si="10"/>
        <v/>
      </c>
      <c r="M86" s="93" t="str">
        <f t="shared" si="11"/>
        <v/>
      </c>
      <c r="N86" s="93" t="str">
        <f t="shared" si="12"/>
        <v/>
      </c>
      <c r="O86" s="93" t="str">
        <f t="shared" si="13"/>
        <v/>
      </c>
      <c r="P86" s="94" t="str">
        <f>IF(G86&gt;0,(CEILING(VLOOKUP($H86,'Techno-Economic Assumptions'!$C$5:$I$17,6,FALSE)*$M86,0.5)),"")</f>
        <v/>
      </c>
      <c r="Q86" s="95" t="str">
        <f>IFERROR($P86*'Techno-Economic Assumptions'!$D$22,"")</f>
        <v/>
      </c>
      <c r="R86" s="95" t="str">
        <f>IF(ISNUMBER(P86),'Techno-Economic Assumptions'!$D$24,"")</f>
        <v/>
      </c>
      <c r="S86" s="94" t="str">
        <f>IF(G86&gt;0,(CEILING(VLOOKUP($H86,'Techno-Economic Assumptions'!$C$5:$I$17,7,FALSE)*$M86,5)),"")</f>
        <v/>
      </c>
      <c r="T86" s="35"/>
      <c r="U86" s="140" t="str">
        <f>IFERROR(IF(ISBLANK($T86),$S86,$T86)*'Techno-Economic Assumptions'!$D$25,"")</f>
        <v/>
      </c>
      <c r="V86" s="140" t="str">
        <f t="shared" si="6"/>
        <v/>
      </c>
      <c r="W86" s="140" t="str">
        <f>IFERROR(IF(ISBLANK($T86),$S86,$T86)*'Techno-Economic Assumptions'!$D$26,"")</f>
        <v/>
      </c>
      <c r="X86" s="140" t="str">
        <f t="shared" si="14"/>
        <v/>
      </c>
      <c r="Y86" s="141" t="str">
        <f>_xlfn.IFNA(VLOOKUP(I86,'Techno-Economic Assumptions'!$C$31:$D$34,2,FALSE),"")</f>
        <v/>
      </c>
      <c r="Z86" s="136" t="str">
        <f t="shared" si="9"/>
        <v/>
      </c>
      <c r="AA86" s="136" t="str">
        <f t="shared" si="8"/>
        <v/>
      </c>
      <c r="AB86" s="141" t="str">
        <f>IFERROR(Y86+'Techno-Economic Assumptions'!$D$30,"")</f>
        <v/>
      </c>
      <c r="AC86" s="136" t="str">
        <f t="shared" si="15"/>
        <v/>
      </c>
      <c r="AD86" s="136" t="str">
        <f t="shared" si="16"/>
        <v/>
      </c>
    </row>
    <row r="87" spans="2:30" x14ac:dyDescent="0.3">
      <c r="B87" s="36"/>
      <c r="C87" s="36"/>
      <c r="D87" s="37"/>
      <c r="E87" s="37"/>
      <c r="F87" s="38"/>
      <c r="G87" s="41"/>
      <c r="H87" s="36"/>
      <c r="I87" s="36"/>
      <c r="J87" s="35"/>
      <c r="K87" s="42"/>
      <c r="L87" s="93" t="str">
        <f t="shared" si="10"/>
        <v/>
      </c>
      <c r="M87" s="93" t="str">
        <f t="shared" si="11"/>
        <v/>
      </c>
      <c r="N87" s="93" t="str">
        <f t="shared" si="12"/>
        <v/>
      </c>
      <c r="O87" s="93" t="str">
        <f t="shared" si="13"/>
        <v/>
      </c>
      <c r="P87" s="94" t="str">
        <f>IF(G87&gt;0,(CEILING(VLOOKUP($H87,'Techno-Economic Assumptions'!$C$5:$I$17,6,FALSE)*$M87,0.5)),"")</f>
        <v/>
      </c>
      <c r="Q87" s="95" t="str">
        <f>IFERROR($P87*'Techno-Economic Assumptions'!$D$22,"")</f>
        <v/>
      </c>
      <c r="R87" s="95" t="str">
        <f>IF(ISNUMBER(P87),'Techno-Economic Assumptions'!$D$24,"")</f>
        <v/>
      </c>
      <c r="S87" s="94" t="str">
        <f>IF(G87&gt;0,(CEILING(VLOOKUP($H87,'Techno-Economic Assumptions'!$C$5:$I$17,7,FALSE)*$M87,5)),"")</f>
        <v/>
      </c>
      <c r="T87" s="35"/>
      <c r="U87" s="140" t="str">
        <f>IFERROR(IF(ISBLANK($T87),$S87,$T87)*'Techno-Economic Assumptions'!$D$25,"")</f>
        <v/>
      </c>
      <c r="V87" s="140" t="str">
        <f t="shared" si="6"/>
        <v/>
      </c>
      <c r="W87" s="140" t="str">
        <f>IFERROR(IF(ISBLANK($T87),$S87,$T87)*'Techno-Economic Assumptions'!$D$26,"")</f>
        <v/>
      </c>
      <c r="X87" s="140" t="str">
        <f t="shared" si="14"/>
        <v/>
      </c>
      <c r="Y87" s="141" t="str">
        <f>_xlfn.IFNA(VLOOKUP(I87,'Techno-Economic Assumptions'!$C$31:$D$34,2,FALSE),"")</f>
        <v/>
      </c>
      <c r="Z87" s="136" t="str">
        <f t="shared" si="9"/>
        <v/>
      </c>
      <c r="AA87" s="136" t="str">
        <f t="shared" si="8"/>
        <v/>
      </c>
      <c r="AB87" s="141" t="str">
        <f>IFERROR(Y87+'Techno-Economic Assumptions'!$D$30,"")</f>
        <v/>
      </c>
      <c r="AC87" s="136" t="str">
        <f t="shared" si="15"/>
        <v/>
      </c>
      <c r="AD87" s="136" t="str">
        <f t="shared" si="16"/>
        <v/>
      </c>
    </row>
    <row r="88" spans="2:30" x14ac:dyDescent="0.3">
      <c r="B88" s="36"/>
      <c r="C88" s="36"/>
      <c r="D88" s="37"/>
      <c r="E88" s="37"/>
      <c r="F88" s="38"/>
      <c r="G88" s="41"/>
      <c r="H88" s="36"/>
      <c r="I88" s="36"/>
      <c r="J88" s="35"/>
      <c r="K88" s="42"/>
      <c r="L88" s="93" t="str">
        <f t="shared" si="10"/>
        <v/>
      </c>
      <c r="M88" s="93" t="str">
        <f t="shared" si="11"/>
        <v/>
      </c>
      <c r="N88" s="93" t="str">
        <f t="shared" si="12"/>
        <v/>
      </c>
      <c r="O88" s="93" t="str">
        <f t="shared" si="13"/>
        <v/>
      </c>
      <c r="P88" s="94" t="str">
        <f>IF(G88&gt;0,(CEILING(VLOOKUP($H88,'Techno-Economic Assumptions'!$C$5:$I$17,6,FALSE)*$M88,0.5)),"")</f>
        <v/>
      </c>
      <c r="Q88" s="95" t="str">
        <f>IFERROR($P88*'Techno-Economic Assumptions'!$D$22,"")</f>
        <v/>
      </c>
      <c r="R88" s="95" t="str">
        <f>IF(ISNUMBER(P88),'Techno-Economic Assumptions'!$D$24,"")</f>
        <v/>
      </c>
      <c r="S88" s="94" t="str">
        <f>IF(G88&gt;0,(CEILING(VLOOKUP($H88,'Techno-Economic Assumptions'!$C$5:$I$17,7,FALSE)*$M88,5)),"")</f>
        <v/>
      </c>
      <c r="T88" s="35"/>
      <c r="U88" s="140" t="str">
        <f>IFERROR(IF(ISBLANK($T88),$S88,$T88)*'Techno-Economic Assumptions'!$D$25,"")</f>
        <v/>
      </c>
      <c r="V88" s="140" t="str">
        <f t="shared" si="6"/>
        <v/>
      </c>
      <c r="W88" s="140" t="str">
        <f>IFERROR(IF(ISBLANK($T88),$S88,$T88)*'Techno-Economic Assumptions'!$D$26,"")</f>
        <v/>
      </c>
      <c r="X88" s="140" t="str">
        <f t="shared" si="14"/>
        <v/>
      </c>
      <c r="Y88" s="141" t="str">
        <f>_xlfn.IFNA(VLOOKUP(I88,'Techno-Economic Assumptions'!$C$31:$D$34,2,FALSE),"")</f>
        <v/>
      </c>
      <c r="Z88" s="136" t="str">
        <f t="shared" si="9"/>
        <v/>
      </c>
      <c r="AA88" s="136" t="str">
        <f t="shared" si="8"/>
        <v/>
      </c>
      <c r="AB88" s="141" t="str">
        <f>IFERROR(Y88+'Techno-Economic Assumptions'!$D$30,"")</f>
        <v/>
      </c>
      <c r="AC88" s="136" t="str">
        <f t="shared" si="15"/>
        <v/>
      </c>
      <c r="AD88" s="136" t="str">
        <f t="shared" si="16"/>
        <v/>
      </c>
    </row>
    <row r="89" spans="2:30" x14ac:dyDescent="0.3">
      <c r="B89" s="36"/>
      <c r="C89" s="36"/>
      <c r="D89" s="37"/>
      <c r="E89" s="37"/>
      <c r="F89" s="38"/>
      <c r="G89" s="41"/>
      <c r="H89" s="36"/>
      <c r="I89" s="36"/>
      <c r="J89" s="35"/>
      <c r="K89" s="42"/>
      <c r="L89" s="93" t="str">
        <f t="shared" si="10"/>
        <v/>
      </c>
      <c r="M89" s="93" t="str">
        <f t="shared" si="11"/>
        <v/>
      </c>
      <c r="N89" s="93" t="str">
        <f t="shared" si="12"/>
        <v/>
      </c>
      <c r="O89" s="93" t="str">
        <f t="shared" si="13"/>
        <v/>
      </c>
      <c r="P89" s="94" t="str">
        <f>IF(G89&gt;0,(CEILING(VLOOKUP($H89,'Techno-Economic Assumptions'!$C$5:$I$17,6,FALSE)*$M89,0.5)),"")</f>
        <v/>
      </c>
      <c r="Q89" s="95" t="str">
        <f>IFERROR($P89*'Techno-Economic Assumptions'!$D$22,"")</f>
        <v/>
      </c>
      <c r="R89" s="95" t="str">
        <f>IF(ISNUMBER(P89),'Techno-Economic Assumptions'!$D$24,"")</f>
        <v/>
      </c>
      <c r="S89" s="94" t="str">
        <f>IF(G89&gt;0,(CEILING(VLOOKUP($H89,'Techno-Economic Assumptions'!$C$5:$I$17,7,FALSE)*$M89,5)),"")</f>
        <v/>
      </c>
      <c r="T89" s="35"/>
      <c r="U89" s="140" t="str">
        <f>IFERROR(IF(ISBLANK($T89),$S89,$T89)*'Techno-Economic Assumptions'!$D$25,"")</f>
        <v/>
      </c>
      <c r="V89" s="140" t="str">
        <f t="shared" si="6"/>
        <v/>
      </c>
      <c r="W89" s="140" t="str">
        <f>IFERROR(IF(ISBLANK($T89),$S89,$T89)*'Techno-Economic Assumptions'!$D$26,"")</f>
        <v/>
      </c>
      <c r="X89" s="140" t="str">
        <f t="shared" ref="X89:X120" si="17">IF(I89="Not working",W89,
IF(OR(I89="Poor",I89="Acceptable"),V89,""))</f>
        <v/>
      </c>
      <c r="Y89" s="141" t="str">
        <f>_xlfn.IFNA(VLOOKUP(I89,'Techno-Economic Assumptions'!$C$31:$D$34,2,FALSE),"")</f>
        <v/>
      </c>
      <c r="Z89" s="136" t="str">
        <f t="shared" si="9"/>
        <v/>
      </c>
      <c r="AA89" s="136" t="str">
        <f t="shared" si="8"/>
        <v/>
      </c>
      <c r="AB89" s="141" t="str">
        <f>IFERROR(Y89+'Techno-Economic Assumptions'!$D$30,"")</f>
        <v/>
      </c>
      <c r="AC89" s="136" t="str">
        <f t="shared" ref="AC89:AC121" si="18">IFERROR($AB89*$N89,"")</f>
        <v/>
      </c>
      <c r="AD89" s="136" t="str">
        <f t="shared" ref="AD89:AD121" si="19">IFERROR($AB89*$O89,"")</f>
        <v/>
      </c>
    </row>
    <row r="90" spans="2:30" x14ac:dyDescent="0.3">
      <c r="B90" s="36"/>
      <c r="C90" s="36"/>
      <c r="D90" s="37"/>
      <c r="E90" s="37"/>
      <c r="F90" s="38"/>
      <c r="G90" s="41"/>
      <c r="H90" s="36"/>
      <c r="I90" s="36"/>
      <c r="J90" s="35"/>
      <c r="K90" s="42"/>
      <c r="L90" s="93" t="str">
        <f t="shared" si="10"/>
        <v/>
      </c>
      <c r="M90" s="93" t="str">
        <f t="shared" si="11"/>
        <v/>
      </c>
      <c r="N90" s="93" t="str">
        <f t="shared" si="12"/>
        <v/>
      </c>
      <c r="O90" s="93" t="str">
        <f t="shared" si="13"/>
        <v/>
      </c>
      <c r="P90" s="94" t="str">
        <f>IF(G90&gt;0,(CEILING(VLOOKUP($H90,'Techno-Economic Assumptions'!$C$5:$I$17,6,FALSE)*$M90,0.5)),"")</f>
        <v/>
      </c>
      <c r="Q90" s="95" t="str">
        <f>IFERROR($P90*'Techno-Economic Assumptions'!$D$22,"")</f>
        <v/>
      </c>
      <c r="R90" s="95" t="str">
        <f>IF(ISNUMBER(P90),'Techno-Economic Assumptions'!$D$24,"")</f>
        <v/>
      </c>
      <c r="S90" s="94" t="str">
        <f>IF(G90&gt;0,(CEILING(VLOOKUP($H90,'Techno-Economic Assumptions'!$C$5:$I$17,7,FALSE)*$M90,5)),"")</f>
        <v/>
      </c>
      <c r="T90" s="35"/>
      <c r="U90" s="140" t="str">
        <f>IFERROR(IF(ISBLANK($T90),$S90,$T90)*'Techno-Economic Assumptions'!$D$25,"")</f>
        <v/>
      </c>
      <c r="V90" s="140" t="str">
        <f t="shared" ref="V90:V121" si="20">IFERROR(U90+R90+Q90,"")</f>
        <v/>
      </c>
      <c r="W90" s="140" t="str">
        <f>IFERROR(IF(ISBLANK($T90),$S90,$T90)*'Techno-Economic Assumptions'!$D$26,"")</f>
        <v/>
      </c>
      <c r="X90" s="140" t="str">
        <f t="shared" si="17"/>
        <v/>
      </c>
      <c r="Y90" s="141" t="str">
        <f>_xlfn.IFNA(VLOOKUP(I90,'Techno-Economic Assumptions'!$C$31:$D$34,2,FALSE),"")</f>
        <v/>
      </c>
      <c r="Z90" s="136" t="str">
        <f t="shared" ref="Z90:Z121" si="21">IFERROR($Y90*$N90,"")</f>
        <v/>
      </c>
      <c r="AA90" s="136" t="str">
        <f t="shared" ref="AA90:AA121" si="22">IFERROR($Y90*$O90,"")</f>
        <v/>
      </c>
      <c r="AB90" s="141" t="str">
        <f>IFERROR(Y90+'Techno-Economic Assumptions'!$D$30,"")</f>
        <v/>
      </c>
      <c r="AC90" s="136" t="str">
        <f t="shared" si="18"/>
        <v/>
      </c>
      <c r="AD90" s="136" t="str">
        <f t="shared" si="19"/>
        <v/>
      </c>
    </row>
    <row r="91" spans="2:30" x14ac:dyDescent="0.3">
      <c r="B91" s="36"/>
      <c r="C91" s="36"/>
      <c r="D91" s="37"/>
      <c r="E91" s="37"/>
      <c r="F91" s="38"/>
      <c r="G91" s="41"/>
      <c r="H91" s="36"/>
      <c r="I91" s="36"/>
      <c r="J91" s="35"/>
      <c r="K91" s="42"/>
      <c r="L91" s="93" t="str">
        <f t="shared" si="10"/>
        <v/>
      </c>
      <c r="M91" s="93" t="str">
        <f t="shared" si="11"/>
        <v/>
      </c>
      <c r="N91" s="93" t="str">
        <f t="shared" si="12"/>
        <v/>
      </c>
      <c r="O91" s="93" t="str">
        <f t="shared" si="13"/>
        <v/>
      </c>
      <c r="P91" s="94" t="str">
        <f>IF(G91&gt;0,(CEILING(VLOOKUP($H91,'Techno-Economic Assumptions'!$C$5:$I$17,6,FALSE)*$M91,0.5)),"")</f>
        <v/>
      </c>
      <c r="Q91" s="95" t="str">
        <f>IFERROR($P91*'Techno-Economic Assumptions'!$D$22,"")</f>
        <v/>
      </c>
      <c r="R91" s="95" t="str">
        <f>IF(ISNUMBER(P91),'Techno-Economic Assumptions'!$D$24,"")</f>
        <v/>
      </c>
      <c r="S91" s="94" t="str">
        <f>IF(G91&gt;0,(CEILING(VLOOKUP($H91,'Techno-Economic Assumptions'!$C$5:$I$17,7,FALSE)*$M91,5)),"")</f>
        <v/>
      </c>
      <c r="T91" s="35"/>
      <c r="U91" s="140" t="str">
        <f>IFERROR(IF(ISBLANK($T91),$S91,$T91)*'Techno-Economic Assumptions'!$D$25,"")</f>
        <v/>
      </c>
      <c r="V91" s="140" t="str">
        <f t="shared" si="20"/>
        <v/>
      </c>
      <c r="W91" s="140" t="str">
        <f>IFERROR(IF(ISBLANK($T91),$S91,$T91)*'Techno-Economic Assumptions'!$D$26,"")</f>
        <v/>
      </c>
      <c r="X91" s="140" t="str">
        <f t="shared" si="17"/>
        <v/>
      </c>
      <c r="Y91" s="141" t="str">
        <f>_xlfn.IFNA(VLOOKUP(I91,'Techno-Economic Assumptions'!$C$31:$D$34,2,FALSE),"")</f>
        <v/>
      </c>
      <c r="Z91" s="136" t="str">
        <f t="shared" si="21"/>
        <v/>
      </c>
      <c r="AA91" s="136" t="str">
        <f t="shared" si="22"/>
        <v/>
      </c>
      <c r="AB91" s="141" t="str">
        <f>IFERROR(Y91+'Techno-Economic Assumptions'!$D$30,"")</f>
        <v/>
      </c>
      <c r="AC91" s="136" t="str">
        <f t="shared" si="18"/>
        <v/>
      </c>
      <c r="AD91" s="136" t="str">
        <f t="shared" si="19"/>
        <v/>
      </c>
    </row>
    <row r="92" spans="2:30" x14ac:dyDescent="0.3">
      <c r="B92" s="36"/>
      <c r="C92" s="36"/>
      <c r="D92" s="37"/>
      <c r="E92" s="37"/>
      <c r="F92" s="38"/>
      <c r="G92" s="41"/>
      <c r="H92" s="36"/>
      <c r="I92" s="36"/>
      <c r="J92" s="35"/>
      <c r="K92" s="42"/>
      <c r="L92" s="93" t="str">
        <f t="shared" si="10"/>
        <v/>
      </c>
      <c r="M92" s="93" t="str">
        <f t="shared" si="11"/>
        <v/>
      </c>
      <c r="N92" s="93" t="str">
        <f t="shared" si="12"/>
        <v/>
      </c>
      <c r="O92" s="93" t="str">
        <f t="shared" si="13"/>
        <v/>
      </c>
      <c r="P92" s="94" t="str">
        <f>IF(G92&gt;0,(CEILING(VLOOKUP($H92,'Techno-Economic Assumptions'!$C$5:$I$17,6,FALSE)*$M92,0.5)),"")</f>
        <v/>
      </c>
      <c r="Q92" s="95" t="str">
        <f>IFERROR($P92*'Techno-Economic Assumptions'!$D$22,"")</f>
        <v/>
      </c>
      <c r="R92" s="95" t="str">
        <f>IF(ISNUMBER(P92),'Techno-Economic Assumptions'!$D$24,"")</f>
        <v/>
      </c>
      <c r="S92" s="94" t="str">
        <f>IF(G92&gt;0,(CEILING(VLOOKUP($H92,'Techno-Economic Assumptions'!$C$5:$I$17,7,FALSE)*$M92,5)),"")</f>
        <v/>
      </c>
      <c r="T92" s="35"/>
      <c r="U92" s="140" t="str">
        <f>IFERROR(IF(ISBLANK($T92),$S92,$T92)*'Techno-Economic Assumptions'!$D$25,"")</f>
        <v/>
      </c>
      <c r="V92" s="140" t="str">
        <f t="shared" si="20"/>
        <v/>
      </c>
      <c r="W92" s="140" t="str">
        <f>IFERROR(IF(ISBLANK($T92),$S92,$T92)*'Techno-Economic Assumptions'!$D$26,"")</f>
        <v/>
      </c>
      <c r="X92" s="140" t="str">
        <f t="shared" si="17"/>
        <v/>
      </c>
      <c r="Y92" s="141" t="str">
        <f>_xlfn.IFNA(VLOOKUP(I92,'Techno-Economic Assumptions'!$C$31:$D$34,2,FALSE),"")</f>
        <v/>
      </c>
      <c r="Z92" s="136" t="str">
        <f t="shared" si="21"/>
        <v/>
      </c>
      <c r="AA92" s="136" t="str">
        <f t="shared" si="22"/>
        <v/>
      </c>
      <c r="AB92" s="141" t="str">
        <f>IFERROR(Y92+'Techno-Economic Assumptions'!$D$30,"")</f>
        <v/>
      </c>
      <c r="AC92" s="136" t="str">
        <f t="shared" si="18"/>
        <v/>
      </c>
      <c r="AD92" s="136" t="str">
        <f t="shared" si="19"/>
        <v/>
      </c>
    </row>
    <row r="93" spans="2:30" x14ac:dyDescent="0.3">
      <c r="B93" s="36"/>
      <c r="C93" s="36"/>
      <c r="D93" s="37"/>
      <c r="E93" s="37"/>
      <c r="F93" s="38"/>
      <c r="G93" s="41"/>
      <c r="H93" s="36"/>
      <c r="I93" s="36"/>
      <c r="J93" s="35"/>
      <c r="K93" s="42"/>
      <c r="L93" s="93" t="str">
        <f t="shared" si="10"/>
        <v/>
      </c>
      <c r="M93" s="93" t="str">
        <f t="shared" si="11"/>
        <v/>
      </c>
      <c r="N93" s="93" t="str">
        <f t="shared" si="12"/>
        <v/>
      </c>
      <c r="O93" s="93" t="str">
        <f t="shared" si="13"/>
        <v/>
      </c>
      <c r="P93" s="94" t="str">
        <f>IF(G93&gt;0,(CEILING(VLOOKUP($H93,'Techno-Economic Assumptions'!$C$5:$I$17,6,FALSE)*$M93,0.5)),"")</f>
        <v/>
      </c>
      <c r="Q93" s="95" t="str">
        <f>IFERROR($P93*'Techno-Economic Assumptions'!$D$22,"")</f>
        <v/>
      </c>
      <c r="R93" s="95" t="str">
        <f>IF(ISNUMBER(P93),'Techno-Economic Assumptions'!$D$24,"")</f>
        <v/>
      </c>
      <c r="S93" s="94" t="str">
        <f>IF(G93&gt;0,(CEILING(VLOOKUP($H93,'Techno-Economic Assumptions'!$C$5:$I$17,7,FALSE)*$M93,5)),"")</f>
        <v/>
      </c>
      <c r="T93" s="35"/>
      <c r="U93" s="140" t="str">
        <f>IFERROR(IF(ISBLANK($T93),$S93,$T93)*'Techno-Economic Assumptions'!$D$25,"")</f>
        <v/>
      </c>
      <c r="V93" s="140" t="str">
        <f t="shared" si="20"/>
        <v/>
      </c>
      <c r="W93" s="140" t="str">
        <f>IFERROR(IF(ISBLANK($T93),$S93,$T93)*'Techno-Economic Assumptions'!$D$26,"")</f>
        <v/>
      </c>
      <c r="X93" s="140" t="str">
        <f t="shared" si="17"/>
        <v/>
      </c>
      <c r="Y93" s="141" t="str">
        <f>_xlfn.IFNA(VLOOKUP(I93,'Techno-Economic Assumptions'!$C$31:$D$34,2,FALSE),"")</f>
        <v/>
      </c>
      <c r="Z93" s="136" t="str">
        <f t="shared" si="21"/>
        <v/>
      </c>
      <c r="AA93" s="136" t="str">
        <f t="shared" si="22"/>
        <v/>
      </c>
      <c r="AB93" s="141" t="str">
        <f>IFERROR(Y93+'Techno-Economic Assumptions'!$D$30,"")</f>
        <v/>
      </c>
      <c r="AC93" s="136" t="str">
        <f t="shared" si="18"/>
        <v/>
      </c>
      <c r="AD93" s="136" t="str">
        <f t="shared" si="19"/>
        <v/>
      </c>
    </row>
    <row r="94" spans="2:30" x14ac:dyDescent="0.3">
      <c r="B94" s="36"/>
      <c r="C94" s="36"/>
      <c r="D94" s="37"/>
      <c r="E94" s="37"/>
      <c r="F94" s="38"/>
      <c r="G94" s="41"/>
      <c r="H94" s="36"/>
      <c r="I94" s="36"/>
      <c r="J94" s="35"/>
      <c r="K94" s="42"/>
      <c r="L94" s="93" t="str">
        <f t="shared" si="10"/>
        <v/>
      </c>
      <c r="M94" s="93" t="str">
        <f t="shared" si="11"/>
        <v/>
      </c>
      <c r="N94" s="93" t="str">
        <f t="shared" si="12"/>
        <v/>
      </c>
      <c r="O94" s="93" t="str">
        <f t="shared" si="13"/>
        <v/>
      </c>
      <c r="P94" s="94" t="str">
        <f>IF(G94&gt;0,(CEILING(VLOOKUP($H94,'Techno-Economic Assumptions'!$C$5:$I$17,6,FALSE)*$M94,0.5)),"")</f>
        <v/>
      </c>
      <c r="Q94" s="95" t="str">
        <f>IFERROR($P94*'Techno-Economic Assumptions'!$D$22,"")</f>
        <v/>
      </c>
      <c r="R94" s="95" t="str">
        <f>IF(ISNUMBER(P94),'Techno-Economic Assumptions'!$D$24,"")</f>
        <v/>
      </c>
      <c r="S94" s="94" t="str">
        <f>IF(G94&gt;0,(CEILING(VLOOKUP($H94,'Techno-Economic Assumptions'!$C$5:$I$17,7,FALSE)*$M94,5)),"")</f>
        <v/>
      </c>
      <c r="T94" s="35"/>
      <c r="U94" s="140" t="str">
        <f>IFERROR(IF(ISBLANK($T94),$S94,$T94)*'Techno-Economic Assumptions'!$D$25,"")</f>
        <v/>
      </c>
      <c r="V94" s="140" t="str">
        <f t="shared" si="20"/>
        <v/>
      </c>
      <c r="W94" s="140" t="str">
        <f>IFERROR(IF(ISBLANK($T94),$S94,$T94)*'Techno-Economic Assumptions'!$D$26,"")</f>
        <v/>
      </c>
      <c r="X94" s="140" t="str">
        <f t="shared" si="17"/>
        <v/>
      </c>
      <c r="Y94" s="141" t="str">
        <f>_xlfn.IFNA(VLOOKUP(I94,'Techno-Economic Assumptions'!$C$31:$D$34,2,FALSE),"")</f>
        <v/>
      </c>
      <c r="Z94" s="136" t="str">
        <f t="shared" si="21"/>
        <v/>
      </c>
      <c r="AA94" s="136" t="str">
        <f t="shared" si="22"/>
        <v/>
      </c>
      <c r="AB94" s="141" t="str">
        <f>IFERROR(Y94+'Techno-Economic Assumptions'!$D$30,"")</f>
        <v/>
      </c>
      <c r="AC94" s="136" t="str">
        <f t="shared" si="18"/>
        <v/>
      </c>
      <c r="AD94" s="136" t="str">
        <f t="shared" si="19"/>
        <v/>
      </c>
    </row>
    <row r="95" spans="2:30" x14ac:dyDescent="0.3">
      <c r="B95" s="36"/>
      <c r="C95" s="36"/>
      <c r="D95" s="37"/>
      <c r="E95" s="37"/>
      <c r="F95" s="38"/>
      <c r="G95" s="41"/>
      <c r="H95" s="36"/>
      <c r="I95" s="36"/>
      <c r="J95" s="35"/>
      <c r="K95" s="42"/>
      <c r="L95" s="93" t="str">
        <f t="shared" si="10"/>
        <v/>
      </c>
      <c r="M95" s="93" t="str">
        <f t="shared" si="11"/>
        <v/>
      </c>
      <c r="N95" s="93" t="str">
        <f t="shared" si="12"/>
        <v/>
      </c>
      <c r="O95" s="93" t="str">
        <f t="shared" si="13"/>
        <v/>
      </c>
      <c r="P95" s="94" t="str">
        <f>IF(G95&gt;0,(CEILING(VLOOKUP($H95,'Techno-Economic Assumptions'!$C$5:$I$17,6,FALSE)*$M95,0.5)),"")</f>
        <v/>
      </c>
      <c r="Q95" s="95" t="str">
        <f>IFERROR($P95*'Techno-Economic Assumptions'!$D$22,"")</f>
        <v/>
      </c>
      <c r="R95" s="95" t="str">
        <f>IF(ISNUMBER(P95),'Techno-Economic Assumptions'!$D$24,"")</f>
        <v/>
      </c>
      <c r="S95" s="94" t="str">
        <f>IF(G95&gt;0,(CEILING(VLOOKUP($H95,'Techno-Economic Assumptions'!$C$5:$I$17,7,FALSE)*$M95,5)),"")</f>
        <v/>
      </c>
      <c r="T95" s="35"/>
      <c r="U95" s="140" t="str">
        <f>IFERROR(IF(ISBLANK($T95),$S95,$T95)*'Techno-Economic Assumptions'!$D$25,"")</f>
        <v/>
      </c>
      <c r="V95" s="140" t="str">
        <f t="shared" si="20"/>
        <v/>
      </c>
      <c r="W95" s="140" t="str">
        <f>IFERROR(IF(ISBLANK($T95),$S95,$T95)*'Techno-Economic Assumptions'!$D$26,"")</f>
        <v/>
      </c>
      <c r="X95" s="140" t="str">
        <f t="shared" si="17"/>
        <v/>
      </c>
      <c r="Y95" s="141" t="str">
        <f>_xlfn.IFNA(VLOOKUP(I95,'Techno-Economic Assumptions'!$C$31:$D$34,2,FALSE),"")</f>
        <v/>
      </c>
      <c r="Z95" s="136" t="str">
        <f t="shared" si="21"/>
        <v/>
      </c>
      <c r="AA95" s="136" t="str">
        <f t="shared" si="22"/>
        <v/>
      </c>
      <c r="AB95" s="141" t="str">
        <f>IFERROR(Y95+'Techno-Economic Assumptions'!$D$30,"")</f>
        <v/>
      </c>
      <c r="AC95" s="136" t="str">
        <f t="shared" si="18"/>
        <v/>
      </c>
      <c r="AD95" s="136" t="str">
        <f t="shared" si="19"/>
        <v/>
      </c>
    </row>
    <row r="96" spans="2:30" x14ac:dyDescent="0.3">
      <c r="B96" s="36"/>
      <c r="C96" s="36"/>
      <c r="D96" s="37"/>
      <c r="E96" s="37"/>
      <c r="F96" s="38"/>
      <c r="G96" s="41"/>
      <c r="H96" s="36"/>
      <c r="I96" s="36"/>
      <c r="J96" s="35"/>
      <c r="K96" s="42"/>
      <c r="L96" s="93" t="str">
        <f t="shared" si="10"/>
        <v/>
      </c>
      <c r="M96" s="93" t="str">
        <f t="shared" si="11"/>
        <v/>
      </c>
      <c r="N96" s="93" t="str">
        <f t="shared" si="12"/>
        <v/>
      </c>
      <c r="O96" s="93" t="str">
        <f t="shared" si="13"/>
        <v/>
      </c>
      <c r="P96" s="94" t="str">
        <f>IF(G96&gt;0,(CEILING(VLOOKUP($H96,'Techno-Economic Assumptions'!$C$5:$I$17,6,FALSE)*$M96,0.5)),"")</f>
        <v/>
      </c>
      <c r="Q96" s="95" t="str">
        <f>IFERROR($P96*'Techno-Economic Assumptions'!$D$22,"")</f>
        <v/>
      </c>
      <c r="R96" s="95" t="str">
        <f>IF(ISNUMBER(P96),'Techno-Economic Assumptions'!$D$24,"")</f>
        <v/>
      </c>
      <c r="S96" s="94" t="str">
        <f>IF(G96&gt;0,(CEILING(VLOOKUP($H96,'Techno-Economic Assumptions'!$C$5:$I$17,7,FALSE)*$M96,5)),"")</f>
        <v/>
      </c>
      <c r="T96" s="35"/>
      <c r="U96" s="140" t="str">
        <f>IFERROR(IF(ISBLANK($T96),$S96,$T96)*'Techno-Economic Assumptions'!$D$25,"")</f>
        <v/>
      </c>
      <c r="V96" s="140" t="str">
        <f t="shared" si="20"/>
        <v/>
      </c>
      <c r="W96" s="140" t="str">
        <f>IFERROR(IF(ISBLANK($T96),$S96,$T96)*'Techno-Economic Assumptions'!$D$26,"")</f>
        <v/>
      </c>
      <c r="X96" s="140" t="str">
        <f t="shared" si="17"/>
        <v/>
      </c>
      <c r="Y96" s="141" t="str">
        <f>_xlfn.IFNA(VLOOKUP(I96,'Techno-Economic Assumptions'!$C$31:$D$34,2,FALSE),"")</f>
        <v/>
      </c>
      <c r="Z96" s="136" t="str">
        <f t="shared" si="21"/>
        <v/>
      </c>
      <c r="AA96" s="136" t="str">
        <f t="shared" si="22"/>
        <v/>
      </c>
      <c r="AB96" s="141" t="str">
        <f>IFERROR(Y96+'Techno-Economic Assumptions'!$D$30,"")</f>
        <v/>
      </c>
      <c r="AC96" s="136" t="str">
        <f t="shared" si="18"/>
        <v/>
      </c>
      <c r="AD96" s="136" t="str">
        <f t="shared" si="19"/>
        <v/>
      </c>
    </row>
    <row r="97" spans="2:30" x14ac:dyDescent="0.3">
      <c r="B97" s="36"/>
      <c r="C97" s="36"/>
      <c r="D97" s="37"/>
      <c r="E97" s="37"/>
      <c r="F97" s="38"/>
      <c r="G97" s="41"/>
      <c r="H97" s="36"/>
      <c r="I97" s="36"/>
      <c r="J97" s="35"/>
      <c r="K97" s="42"/>
      <c r="L97" s="93" t="str">
        <f t="shared" si="10"/>
        <v/>
      </c>
      <c r="M97" s="93" t="str">
        <f t="shared" si="11"/>
        <v/>
      </c>
      <c r="N97" s="93" t="str">
        <f t="shared" si="12"/>
        <v/>
      </c>
      <c r="O97" s="93" t="str">
        <f t="shared" si="13"/>
        <v/>
      </c>
      <c r="P97" s="94" t="str">
        <f>IF(G97&gt;0,(CEILING(VLOOKUP($H97,'Techno-Economic Assumptions'!$C$5:$I$17,6,FALSE)*$M97,0.5)),"")</f>
        <v/>
      </c>
      <c r="Q97" s="95" t="str">
        <f>IFERROR($P97*'Techno-Economic Assumptions'!$D$22,"")</f>
        <v/>
      </c>
      <c r="R97" s="95" t="str">
        <f>IF(ISNUMBER(P97),'Techno-Economic Assumptions'!$D$24,"")</f>
        <v/>
      </c>
      <c r="S97" s="94" t="str">
        <f>IF(G97&gt;0,(CEILING(VLOOKUP($H97,'Techno-Economic Assumptions'!$C$5:$I$17,7,FALSE)*$M97,5)),"")</f>
        <v/>
      </c>
      <c r="T97" s="35"/>
      <c r="U97" s="140" t="str">
        <f>IFERROR(IF(ISBLANK($T97),$S97,$T97)*'Techno-Economic Assumptions'!$D$25,"")</f>
        <v/>
      </c>
      <c r="V97" s="140" t="str">
        <f t="shared" si="20"/>
        <v/>
      </c>
      <c r="W97" s="140" t="str">
        <f>IFERROR(IF(ISBLANK($T97),$S97,$T97)*'Techno-Economic Assumptions'!$D$26,"")</f>
        <v/>
      </c>
      <c r="X97" s="140" t="str">
        <f t="shared" si="17"/>
        <v/>
      </c>
      <c r="Y97" s="141" t="str">
        <f>_xlfn.IFNA(VLOOKUP(I97,'Techno-Economic Assumptions'!$C$31:$D$34,2,FALSE),"")</f>
        <v/>
      </c>
      <c r="Z97" s="136" t="str">
        <f t="shared" si="21"/>
        <v/>
      </c>
      <c r="AA97" s="136" t="str">
        <f t="shared" si="22"/>
        <v/>
      </c>
      <c r="AB97" s="141" t="str">
        <f>IFERROR(Y97+'Techno-Economic Assumptions'!$D$30,"")</f>
        <v/>
      </c>
      <c r="AC97" s="136" t="str">
        <f t="shared" si="18"/>
        <v/>
      </c>
      <c r="AD97" s="136" t="str">
        <f t="shared" si="19"/>
        <v/>
      </c>
    </row>
    <row r="98" spans="2:30" x14ac:dyDescent="0.3">
      <c r="B98" s="36"/>
      <c r="C98" s="36"/>
      <c r="D98" s="37"/>
      <c r="E98" s="37"/>
      <c r="F98" s="38"/>
      <c r="G98" s="41"/>
      <c r="H98" s="36"/>
      <c r="I98" s="36"/>
      <c r="J98" s="35"/>
      <c r="K98" s="42"/>
      <c r="L98" s="93" t="str">
        <f t="shared" si="10"/>
        <v/>
      </c>
      <c r="M98" s="93" t="str">
        <f t="shared" si="11"/>
        <v/>
      </c>
      <c r="N98" s="93" t="str">
        <f t="shared" si="12"/>
        <v/>
      </c>
      <c r="O98" s="93" t="str">
        <f t="shared" si="13"/>
        <v/>
      </c>
      <c r="P98" s="94" t="str">
        <f>IF(G98&gt;0,(CEILING(VLOOKUP($H98,'Techno-Economic Assumptions'!$C$5:$I$17,6,FALSE)*$M98,0.5)),"")</f>
        <v/>
      </c>
      <c r="Q98" s="95" t="str">
        <f>IFERROR($P98*'Techno-Economic Assumptions'!$D$22,"")</f>
        <v/>
      </c>
      <c r="R98" s="95" t="str">
        <f>IF(ISNUMBER(P98),'Techno-Economic Assumptions'!$D$24,"")</f>
        <v/>
      </c>
      <c r="S98" s="94" t="str">
        <f>IF(G98&gt;0,(CEILING(VLOOKUP($H98,'Techno-Economic Assumptions'!$C$5:$I$17,7,FALSE)*$M98,5)),"")</f>
        <v/>
      </c>
      <c r="T98" s="35"/>
      <c r="U98" s="140" t="str">
        <f>IFERROR(IF(ISBLANK($T98),$S98,$T98)*'Techno-Economic Assumptions'!$D$25,"")</f>
        <v/>
      </c>
      <c r="V98" s="140" t="str">
        <f t="shared" si="20"/>
        <v/>
      </c>
      <c r="W98" s="140" t="str">
        <f>IFERROR(IF(ISBLANK($T98),$S98,$T98)*'Techno-Economic Assumptions'!$D$26,"")</f>
        <v/>
      </c>
      <c r="X98" s="140" t="str">
        <f t="shared" si="17"/>
        <v/>
      </c>
      <c r="Y98" s="141" t="str">
        <f>_xlfn.IFNA(VLOOKUP(I98,'Techno-Economic Assumptions'!$C$31:$D$34,2,FALSE),"")</f>
        <v/>
      </c>
      <c r="Z98" s="136" t="str">
        <f t="shared" si="21"/>
        <v/>
      </c>
      <c r="AA98" s="136" t="str">
        <f t="shared" si="22"/>
        <v/>
      </c>
      <c r="AB98" s="141" t="str">
        <f>IFERROR(Y98+'Techno-Economic Assumptions'!$D$30,"")</f>
        <v/>
      </c>
      <c r="AC98" s="136" t="str">
        <f t="shared" si="18"/>
        <v/>
      </c>
      <c r="AD98" s="136" t="str">
        <f t="shared" si="19"/>
        <v/>
      </c>
    </row>
    <row r="99" spans="2:30" x14ac:dyDescent="0.3">
      <c r="B99" s="36"/>
      <c r="C99" s="36"/>
      <c r="D99" s="37"/>
      <c r="E99" s="37"/>
      <c r="F99" s="38"/>
      <c r="G99" s="41"/>
      <c r="H99" s="36"/>
      <c r="I99" s="36"/>
      <c r="J99" s="35"/>
      <c r="K99" s="42"/>
      <c r="L99" s="93" t="str">
        <f t="shared" si="10"/>
        <v/>
      </c>
      <c r="M99" s="93" t="str">
        <f t="shared" si="11"/>
        <v/>
      </c>
      <c r="N99" s="93" t="str">
        <f t="shared" si="12"/>
        <v/>
      </c>
      <c r="O99" s="93" t="str">
        <f t="shared" si="13"/>
        <v/>
      </c>
      <c r="P99" s="94" t="str">
        <f>IF(G99&gt;0,(CEILING(VLOOKUP($H99,'Techno-Economic Assumptions'!$C$5:$I$17,6,FALSE)*$M99,0.5)),"")</f>
        <v/>
      </c>
      <c r="Q99" s="95" t="str">
        <f>IFERROR($P99*'Techno-Economic Assumptions'!$D$22,"")</f>
        <v/>
      </c>
      <c r="R99" s="95" t="str">
        <f>IF(ISNUMBER(P99),'Techno-Economic Assumptions'!$D$24,"")</f>
        <v/>
      </c>
      <c r="S99" s="94" t="str">
        <f>IF(G99&gt;0,(CEILING(VLOOKUP($H99,'Techno-Economic Assumptions'!$C$5:$I$17,7,FALSE)*$M99,5)),"")</f>
        <v/>
      </c>
      <c r="T99" s="35"/>
      <c r="U99" s="140" t="str">
        <f>IFERROR(IF(ISBLANK($T99),$S99,$T99)*'Techno-Economic Assumptions'!$D$25,"")</f>
        <v/>
      </c>
      <c r="V99" s="140" t="str">
        <f t="shared" si="20"/>
        <v/>
      </c>
      <c r="W99" s="140" t="str">
        <f>IFERROR(IF(ISBLANK($T99),$S99,$T99)*'Techno-Economic Assumptions'!$D$26,"")</f>
        <v/>
      </c>
      <c r="X99" s="140" t="str">
        <f t="shared" si="17"/>
        <v/>
      </c>
      <c r="Y99" s="141" t="str">
        <f>_xlfn.IFNA(VLOOKUP(I99,'Techno-Economic Assumptions'!$C$31:$D$34,2,FALSE),"")</f>
        <v/>
      </c>
      <c r="Z99" s="136" t="str">
        <f t="shared" si="21"/>
        <v/>
      </c>
      <c r="AA99" s="136" t="str">
        <f t="shared" si="22"/>
        <v/>
      </c>
      <c r="AB99" s="141" t="str">
        <f>IFERROR(Y99+'Techno-Economic Assumptions'!$D$30,"")</f>
        <v/>
      </c>
      <c r="AC99" s="136" t="str">
        <f t="shared" si="18"/>
        <v/>
      </c>
      <c r="AD99" s="136" t="str">
        <f t="shared" si="19"/>
        <v/>
      </c>
    </row>
    <row r="100" spans="2:30" x14ac:dyDescent="0.3">
      <c r="B100" s="36"/>
      <c r="C100" s="36"/>
      <c r="D100" s="37"/>
      <c r="E100" s="37"/>
      <c r="F100" s="38"/>
      <c r="G100" s="41"/>
      <c r="H100" s="36"/>
      <c r="I100" s="36"/>
      <c r="J100" s="35"/>
      <c r="K100" s="42"/>
      <c r="L100" s="93" t="str">
        <f t="shared" si="10"/>
        <v/>
      </c>
      <c r="M100" s="93" t="str">
        <f t="shared" si="11"/>
        <v/>
      </c>
      <c r="N100" s="93" t="str">
        <f t="shared" si="12"/>
        <v/>
      </c>
      <c r="O100" s="93" t="str">
        <f t="shared" si="13"/>
        <v/>
      </c>
      <c r="P100" s="94" t="str">
        <f>IF(G100&gt;0,(CEILING(VLOOKUP($H100,'Techno-Economic Assumptions'!$C$5:$I$17,6,FALSE)*$M100,0.5)),"")</f>
        <v/>
      </c>
      <c r="Q100" s="95" t="str">
        <f>IFERROR($P100*'Techno-Economic Assumptions'!$D$22,"")</f>
        <v/>
      </c>
      <c r="R100" s="95" t="str">
        <f>IF(ISNUMBER(P100),'Techno-Economic Assumptions'!$D$24,"")</f>
        <v/>
      </c>
      <c r="S100" s="94" t="str">
        <f>IF(G100&gt;0,(CEILING(VLOOKUP($H100,'Techno-Economic Assumptions'!$C$5:$I$17,7,FALSE)*$M100,5)),"")</f>
        <v/>
      </c>
      <c r="T100" s="35"/>
      <c r="U100" s="140" t="str">
        <f>IFERROR(IF(ISBLANK($T100),$S100,$T100)*'Techno-Economic Assumptions'!$D$25,"")</f>
        <v/>
      </c>
      <c r="V100" s="140" t="str">
        <f t="shared" si="20"/>
        <v/>
      </c>
      <c r="W100" s="140" t="str">
        <f>IFERROR(IF(ISBLANK($T100),$S100,$T100)*'Techno-Economic Assumptions'!$D$26,"")</f>
        <v/>
      </c>
      <c r="X100" s="140" t="str">
        <f t="shared" si="17"/>
        <v/>
      </c>
      <c r="Y100" s="141" t="str">
        <f>_xlfn.IFNA(VLOOKUP(I100,'Techno-Economic Assumptions'!$C$31:$D$34,2,FALSE),"")</f>
        <v/>
      </c>
      <c r="Z100" s="136" t="str">
        <f t="shared" si="21"/>
        <v/>
      </c>
      <c r="AA100" s="136" t="str">
        <f t="shared" si="22"/>
        <v/>
      </c>
      <c r="AB100" s="141" t="str">
        <f>IFERROR(Y100+'Techno-Economic Assumptions'!$D$30,"")</f>
        <v/>
      </c>
      <c r="AC100" s="136" t="str">
        <f t="shared" si="18"/>
        <v/>
      </c>
      <c r="AD100" s="136" t="str">
        <f t="shared" si="19"/>
        <v/>
      </c>
    </row>
    <row r="101" spans="2:30" x14ac:dyDescent="0.3">
      <c r="B101" s="36"/>
      <c r="C101" s="36"/>
      <c r="D101" s="37"/>
      <c r="E101" s="37"/>
      <c r="F101" s="38"/>
      <c r="G101" s="41"/>
      <c r="H101" s="36"/>
      <c r="I101" s="36"/>
      <c r="J101" s="35"/>
      <c r="K101" s="42"/>
      <c r="L101" s="93" t="str">
        <f t="shared" si="10"/>
        <v/>
      </c>
      <c r="M101" s="93" t="str">
        <f t="shared" si="11"/>
        <v/>
      </c>
      <c r="N101" s="93" t="str">
        <f t="shared" si="12"/>
        <v/>
      </c>
      <c r="O101" s="93" t="str">
        <f t="shared" si="13"/>
        <v/>
      </c>
      <c r="P101" s="94" t="str">
        <f>IF(G101&gt;0,(CEILING(VLOOKUP($H101,'Techno-Economic Assumptions'!$C$5:$I$17,6,FALSE)*$M101,0.5)),"")</f>
        <v/>
      </c>
      <c r="Q101" s="95" t="str">
        <f>IFERROR($P101*'Techno-Economic Assumptions'!$D$22,"")</f>
        <v/>
      </c>
      <c r="R101" s="95" t="str">
        <f>IF(ISNUMBER(P101),'Techno-Economic Assumptions'!$D$24,"")</f>
        <v/>
      </c>
      <c r="S101" s="94" t="str">
        <f>IF(G101&gt;0,(CEILING(VLOOKUP($H101,'Techno-Economic Assumptions'!$C$5:$I$17,7,FALSE)*$M101,5)),"")</f>
        <v/>
      </c>
      <c r="T101" s="35"/>
      <c r="U101" s="140" t="str">
        <f>IFERROR(IF(ISBLANK($T101),$S101,$T101)*'Techno-Economic Assumptions'!$D$25,"")</f>
        <v/>
      </c>
      <c r="V101" s="140" t="str">
        <f t="shared" si="20"/>
        <v/>
      </c>
      <c r="W101" s="140" t="str">
        <f>IFERROR(IF(ISBLANK($T101),$S101,$T101)*'Techno-Economic Assumptions'!$D$26,"")</f>
        <v/>
      </c>
      <c r="X101" s="140" t="str">
        <f t="shared" si="17"/>
        <v/>
      </c>
      <c r="Y101" s="141" t="str">
        <f>_xlfn.IFNA(VLOOKUP(I101,'Techno-Economic Assumptions'!$C$31:$D$34,2,FALSE),"")</f>
        <v/>
      </c>
      <c r="Z101" s="136" t="str">
        <f t="shared" si="21"/>
        <v/>
      </c>
      <c r="AA101" s="136" t="str">
        <f t="shared" si="22"/>
        <v/>
      </c>
      <c r="AB101" s="141" t="str">
        <f>IFERROR(Y101+'Techno-Economic Assumptions'!$D$30,"")</f>
        <v/>
      </c>
      <c r="AC101" s="136" t="str">
        <f t="shared" si="18"/>
        <v/>
      </c>
      <c r="AD101" s="136" t="str">
        <f t="shared" si="19"/>
        <v/>
      </c>
    </row>
    <row r="102" spans="2:30" x14ac:dyDescent="0.3">
      <c r="B102" s="36"/>
      <c r="C102" s="36"/>
      <c r="D102" s="37"/>
      <c r="E102" s="37"/>
      <c r="F102" s="38"/>
      <c r="G102" s="41"/>
      <c r="H102" s="36"/>
      <c r="I102" s="36"/>
      <c r="J102" s="35"/>
      <c r="K102" s="42"/>
      <c r="L102" s="93" t="str">
        <f t="shared" si="10"/>
        <v/>
      </c>
      <c r="M102" s="93" t="str">
        <f t="shared" si="11"/>
        <v/>
      </c>
      <c r="N102" s="93" t="str">
        <f t="shared" si="12"/>
        <v/>
      </c>
      <c r="O102" s="93" t="str">
        <f t="shared" si="13"/>
        <v/>
      </c>
      <c r="P102" s="94" t="str">
        <f>IF(G102&gt;0,(CEILING(VLOOKUP($H102,'Techno-Economic Assumptions'!$C$5:$I$17,6,FALSE)*$M102,0.5)),"")</f>
        <v/>
      </c>
      <c r="Q102" s="95" t="str">
        <f>IFERROR($P102*'Techno-Economic Assumptions'!$D$22,"")</f>
        <v/>
      </c>
      <c r="R102" s="95" t="str">
        <f>IF(ISNUMBER(P102),'Techno-Economic Assumptions'!$D$24,"")</f>
        <v/>
      </c>
      <c r="S102" s="94" t="str">
        <f>IF(G102&gt;0,(CEILING(VLOOKUP($H102,'Techno-Economic Assumptions'!$C$5:$I$17,7,FALSE)*$M102,5)),"")</f>
        <v/>
      </c>
      <c r="T102" s="35"/>
      <c r="U102" s="140" t="str">
        <f>IFERROR(IF(ISBLANK($T102),$S102,$T102)*'Techno-Economic Assumptions'!$D$25,"")</f>
        <v/>
      </c>
      <c r="V102" s="140" t="str">
        <f t="shared" si="20"/>
        <v/>
      </c>
      <c r="W102" s="140" t="str">
        <f>IFERROR(IF(ISBLANK($T102),$S102,$T102)*'Techno-Economic Assumptions'!$D$26,"")</f>
        <v/>
      </c>
      <c r="X102" s="140" t="str">
        <f t="shared" si="17"/>
        <v/>
      </c>
      <c r="Y102" s="141" t="str">
        <f>_xlfn.IFNA(VLOOKUP(I102,'Techno-Economic Assumptions'!$C$31:$D$34,2,FALSE),"")</f>
        <v/>
      </c>
      <c r="Z102" s="136" t="str">
        <f t="shared" si="21"/>
        <v/>
      </c>
      <c r="AA102" s="136" t="str">
        <f t="shared" si="22"/>
        <v/>
      </c>
      <c r="AB102" s="141" t="str">
        <f>IFERROR(Y102+'Techno-Economic Assumptions'!$D$30,"")</f>
        <v/>
      </c>
      <c r="AC102" s="136" t="str">
        <f t="shared" si="18"/>
        <v/>
      </c>
      <c r="AD102" s="136" t="str">
        <f t="shared" si="19"/>
        <v/>
      </c>
    </row>
    <row r="103" spans="2:30" x14ac:dyDescent="0.3">
      <c r="B103" s="36"/>
      <c r="C103" s="36"/>
      <c r="D103" s="37"/>
      <c r="E103" s="37"/>
      <c r="F103" s="38"/>
      <c r="G103" s="41"/>
      <c r="H103" s="36"/>
      <c r="I103" s="36"/>
      <c r="J103" s="35"/>
      <c r="K103" s="42"/>
      <c r="L103" s="93" t="str">
        <f t="shared" si="10"/>
        <v/>
      </c>
      <c r="M103" s="93" t="str">
        <f t="shared" si="11"/>
        <v/>
      </c>
      <c r="N103" s="93" t="str">
        <f t="shared" si="12"/>
        <v/>
      </c>
      <c r="O103" s="93" t="str">
        <f t="shared" si="13"/>
        <v/>
      </c>
      <c r="P103" s="94" t="str">
        <f>IF(G103&gt;0,(CEILING(VLOOKUP($H103,'Techno-Economic Assumptions'!$C$5:$I$17,6,FALSE)*$M103,0.5)),"")</f>
        <v/>
      </c>
      <c r="Q103" s="95" t="str">
        <f>IFERROR($P103*'Techno-Economic Assumptions'!$D$22,"")</f>
        <v/>
      </c>
      <c r="R103" s="95" t="str">
        <f>IF(ISNUMBER(P103),'Techno-Economic Assumptions'!$D$24,"")</f>
        <v/>
      </c>
      <c r="S103" s="94" t="str">
        <f>IF(G103&gt;0,(CEILING(VLOOKUP($H103,'Techno-Economic Assumptions'!$C$5:$I$17,7,FALSE)*$M103,5)),"")</f>
        <v/>
      </c>
      <c r="T103" s="35"/>
      <c r="U103" s="140" t="str">
        <f>IFERROR(IF(ISBLANK($T103),$S103,$T103)*'Techno-Economic Assumptions'!$D$25,"")</f>
        <v/>
      </c>
      <c r="V103" s="140" t="str">
        <f t="shared" si="20"/>
        <v/>
      </c>
      <c r="W103" s="140" t="str">
        <f>IFERROR(IF(ISBLANK($T103),$S103,$T103)*'Techno-Economic Assumptions'!$D$26,"")</f>
        <v/>
      </c>
      <c r="X103" s="140" t="str">
        <f t="shared" si="17"/>
        <v/>
      </c>
      <c r="Y103" s="141" t="str">
        <f>_xlfn.IFNA(VLOOKUP(I103,'Techno-Economic Assumptions'!$C$31:$D$34,2,FALSE),"")</f>
        <v/>
      </c>
      <c r="Z103" s="136" t="str">
        <f t="shared" si="21"/>
        <v/>
      </c>
      <c r="AA103" s="136" t="str">
        <f t="shared" si="22"/>
        <v/>
      </c>
      <c r="AB103" s="141" t="str">
        <f>IFERROR(Y103+'Techno-Economic Assumptions'!$D$30,"")</f>
        <v/>
      </c>
      <c r="AC103" s="136" t="str">
        <f t="shared" si="18"/>
        <v/>
      </c>
      <c r="AD103" s="136" t="str">
        <f t="shared" si="19"/>
        <v/>
      </c>
    </row>
    <row r="104" spans="2:30" x14ac:dyDescent="0.3">
      <c r="B104" s="36"/>
      <c r="C104" s="36"/>
      <c r="D104" s="37"/>
      <c r="E104" s="37"/>
      <c r="F104" s="38"/>
      <c r="G104" s="41"/>
      <c r="H104" s="36"/>
      <c r="I104" s="36"/>
      <c r="J104" s="35"/>
      <c r="K104" s="42"/>
      <c r="L104" s="93" t="str">
        <f t="shared" ref="L104:L121" si="23">IF(G104&gt;0,K104*(1-$D$18)*(1-$D$19)*(1-$D$20),"")</f>
        <v/>
      </c>
      <c r="M104" s="93" t="str">
        <f t="shared" ref="M104:M121" si="24">IF(G104&gt;0,G104*F104,"")</f>
        <v/>
      </c>
      <c r="N104" s="93" t="str">
        <f t="shared" ref="N104:N121" si="25">IFERROR(L104*$G104*$D$7,"")</f>
        <v/>
      </c>
      <c r="O104" s="93" t="str">
        <f t="shared" ref="O104:O121" si="26">IF(G104&gt;0,J104*$G104*$D$8,"")</f>
        <v/>
      </c>
      <c r="P104" s="94" t="str">
        <f>IF(G104&gt;0,(CEILING(VLOOKUP($H104,'Techno-Economic Assumptions'!$C$5:$I$17,6,FALSE)*$M104,0.5)),"")</f>
        <v/>
      </c>
      <c r="Q104" s="95" t="str">
        <f>IFERROR($P104*'Techno-Economic Assumptions'!$D$22,"")</f>
        <v/>
      </c>
      <c r="R104" s="95" t="str">
        <f>IF(ISNUMBER(P104),'Techno-Economic Assumptions'!$D$24,"")</f>
        <v/>
      </c>
      <c r="S104" s="94" t="str">
        <f>IF(G104&gt;0,(CEILING(VLOOKUP($H104,'Techno-Economic Assumptions'!$C$5:$I$17,7,FALSE)*$M104,5)),"")</f>
        <v/>
      </c>
      <c r="T104" s="35"/>
      <c r="U104" s="140" t="str">
        <f>IFERROR(IF(ISBLANK($T104),$S104,$T104)*'Techno-Economic Assumptions'!$D$25,"")</f>
        <v/>
      </c>
      <c r="V104" s="140" t="str">
        <f t="shared" si="20"/>
        <v/>
      </c>
      <c r="W104" s="140" t="str">
        <f>IFERROR(IF(ISBLANK($T104),$S104,$T104)*'Techno-Economic Assumptions'!$D$26,"")</f>
        <v/>
      </c>
      <c r="X104" s="140" t="str">
        <f t="shared" si="17"/>
        <v/>
      </c>
      <c r="Y104" s="141" t="str">
        <f>_xlfn.IFNA(VLOOKUP(I104,'Techno-Economic Assumptions'!$C$31:$D$34,2,FALSE),"")</f>
        <v/>
      </c>
      <c r="Z104" s="136" t="str">
        <f t="shared" si="21"/>
        <v/>
      </c>
      <c r="AA104" s="136" t="str">
        <f t="shared" si="22"/>
        <v/>
      </c>
      <c r="AB104" s="141" t="str">
        <f>IFERROR(Y104+'Techno-Economic Assumptions'!$D$30,"")</f>
        <v/>
      </c>
      <c r="AC104" s="136" t="str">
        <f t="shared" si="18"/>
        <v/>
      </c>
      <c r="AD104" s="136" t="str">
        <f t="shared" si="19"/>
        <v/>
      </c>
    </row>
    <row r="105" spans="2:30" x14ac:dyDescent="0.3">
      <c r="B105" s="36"/>
      <c r="C105" s="36"/>
      <c r="D105" s="37"/>
      <c r="E105" s="37"/>
      <c r="F105" s="38"/>
      <c r="G105" s="41"/>
      <c r="H105" s="36"/>
      <c r="I105" s="36"/>
      <c r="J105" s="35"/>
      <c r="K105" s="42"/>
      <c r="L105" s="93" t="str">
        <f t="shared" si="23"/>
        <v/>
      </c>
      <c r="M105" s="93" t="str">
        <f t="shared" si="24"/>
        <v/>
      </c>
      <c r="N105" s="93" t="str">
        <f t="shared" si="25"/>
        <v/>
      </c>
      <c r="O105" s="93" t="str">
        <f t="shared" si="26"/>
        <v/>
      </c>
      <c r="P105" s="94" t="str">
        <f>IF(G105&gt;0,(CEILING(VLOOKUP($H105,'Techno-Economic Assumptions'!$C$5:$I$17,6,FALSE)*$M105,0.5)),"")</f>
        <v/>
      </c>
      <c r="Q105" s="95" t="str">
        <f>IFERROR($P105*'Techno-Economic Assumptions'!$D$22,"")</f>
        <v/>
      </c>
      <c r="R105" s="95" t="str">
        <f>IF(ISNUMBER(P105),'Techno-Economic Assumptions'!$D$24,"")</f>
        <v/>
      </c>
      <c r="S105" s="94" t="str">
        <f>IF(G105&gt;0,(CEILING(VLOOKUP($H105,'Techno-Economic Assumptions'!$C$5:$I$17,7,FALSE)*$M105,5)),"")</f>
        <v/>
      </c>
      <c r="T105" s="35"/>
      <c r="U105" s="140" t="str">
        <f>IFERROR(IF(ISBLANK($T105),$S105,$T105)*'Techno-Economic Assumptions'!$D$25,"")</f>
        <v/>
      </c>
      <c r="V105" s="140" t="str">
        <f t="shared" si="20"/>
        <v/>
      </c>
      <c r="W105" s="140" t="str">
        <f>IFERROR(IF(ISBLANK($T105),$S105,$T105)*'Techno-Economic Assumptions'!$D$26,"")</f>
        <v/>
      </c>
      <c r="X105" s="140" t="str">
        <f t="shared" si="17"/>
        <v/>
      </c>
      <c r="Y105" s="141" t="str">
        <f>_xlfn.IFNA(VLOOKUP(I105,'Techno-Economic Assumptions'!$C$31:$D$34,2,FALSE),"")</f>
        <v/>
      </c>
      <c r="Z105" s="136" t="str">
        <f t="shared" si="21"/>
        <v/>
      </c>
      <c r="AA105" s="136" t="str">
        <f t="shared" si="22"/>
        <v/>
      </c>
      <c r="AB105" s="141" t="str">
        <f>IFERROR(Y105+'Techno-Economic Assumptions'!$D$30,"")</f>
        <v/>
      </c>
      <c r="AC105" s="136" t="str">
        <f t="shared" si="18"/>
        <v/>
      </c>
      <c r="AD105" s="136" t="str">
        <f t="shared" si="19"/>
        <v/>
      </c>
    </row>
    <row r="106" spans="2:30" x14ac:dyDescent="0.3">
      <c r="B106" s="36"/>
      <c r="C106" s="36"/>
      <c r="D106" s="37"/>
      <c r="E106" s="37"/>
      <c r="F106" s="38"/>
      <c r="G106" s="41"/>
      <c r="H106" s="36"/>
      <c r="I106" s="36"/>
      <c r="J106" s="35"/>
      <c r="K106" s="42"/>
      <c r="L106" s="93" t="str">
        <f t="shared" si="23"/>
        <v/>
      </c>
      <c r="M106" s="93" t="str">
        <f t="shared" si="24"/>
        <v/>
      </c>
      <c r="N106" s="93" t="str">
        <f t="shared" si="25"/>
        <v/>
      </c>
      <c r="O106" s="93" t="str">
        <f t="shared" si="26"/>
        <v/>
      </c>
      <c r="P106" s="94" t="str">
        <f>IF(G106&gt;0,(CEILING(VLOOKUP($H106,'Techno-Economic Assumptions'!$C$5:$I$17,6,FALSE)*$M106,0.5)),"")</f>
        <v/>
      </c>
      <c r="Q106" s="95" t="str">
        <f>IFERROR($P106*'Techno-Economic Assumptions'!$D$22,"")</f>
        <v/>
      </c>
      <c r="R106" s="95" t="str">
        <f>IF(ISNUMBER(P106),'Techno-Economic Assumptions'!$D$24,"")</f>
        <v/>
      </c>
      <c r="S106" s="94" t="str">
        <f>IF(G106&gt;0,(CEILING(VLOOKUP($H106,'Techno-Economic Assumptions'!$C$5:$I$17,7,FALSE)*$M106,5)),"")</f>
        <v/>
      </c>
      <c r="T106" s="35"/>
      <c r="U106" s="140" t="str">
        <f>IFERROR(IF(ISBLANK($T106),$S106,$T106)*'Techno-Economic Assumptions'!$D$25,"")</f>
        <v/>
      </c>
      <c r="V106" s="140" t="str">
        <f t="shared" si="20"/>
        <v/>
      </c>
      <c r="W106" s="140" t="str">
        <f>IFERROR(IF(ISBLANK($T106),$S106,$T106)*'Techno-Economic Assumptions'!$D$26,"")</f>
        <v/>
      </c>
      <c r="X106" s="140" t="str">
        <f t="shared" si="17"/>
        <v/>
      </c>
      <c r="Y106" s="141" t="str">
        <f>_xlfn.IFNA(VLOOKUP(I106,'Techno-Economic Assumptions'!$C$31:$D$34,2,FALSE),"")</f>
        <v/>
      </c>
      <c r="Z106" s="136" t="str">
        <f t="shared" si="21"/>
        <v/>
      </c>
      <c r="AA106" s="136" t="str">
        <f t="shared" si="22"/>
        <v/>
      </c>
      <c r="AB106" s="141" t="str">
        <f>IFERROR(Y106+'Techno-Economic Assumptions'!$D$30,"")</f>
        <v/>
      </c>
      <c r="AC106" s="136" t="str">
        <f t="shared" si="18"/>
        <v/>
      </c>
      <c r="AD106" s="136" t="str">
        <f t="shared" si="19"/>
        <v/>
      </c>
    </row>
    <row r="107" spans="2:30" x14ac:dyDescent="0.3">
      <c r="B107" s="36"/>
      <c r="C107" s="36"/>
      <c r="D107" s="37"/>
      <c r="E107" s="37"/>
      <c r="F107" s="38"/>
      <c r="G107" s="41"/>
      <c r="H107" s="36"/>
      <c r="I107" s="36"/>
      <c r="J107" s="35"/>
      <c r="K107" s="42"/>
      <c r="L107" s="93" t="str">
        <f t="shared" si="23"/>
        <v/>
      </c>
      <c r="M107" s="93" t="str">
        <f t="shared" si="24"/>
        <v/>
      </c>
      <c r="N107" s="93" t="str">
        <f t="shared" si="25"/>
        <v/>
      </c>
      <c r="O107" s="93" t="str">
        <f t="shared" si="26"/>
        <v/>
      </c>
      <c r="P107" s="94" t="str">
        <f>IF(G107&gt;0,(CEILING(VLOOKUP($H107,'Techno-Economic Assumptions'!$C$5:$I$17,6,FALSE)*$M107,0.5)),"")</f>
        <v/>
      </c>
      <c r="Q107" s="95" t="str">
        <f>IFERROR($P107*'Techno-Economic Assumptions'!$D$22,"")</f>
        <v/>
      </c>
      <c r="R107" s="95" t="str">
        <f>IF(ISNUMBER(P107),'Techno-Economic Assumptions'!$D$24,"")</f>
        <v/>
      </c>
      <c r="S107" s="94" t="str">
        <f>IF(G107&gt;0,(CEILING(VLOOKUP($H107,'Techno-Economic Assumptions'!$C$5:$I$17,7,FALSE)*$M107,5)),"")</f>
        <v/>
      </c>
      <c r="T107" s="35"/>
      <c r="U107" s="140" t="str">
        <f>IFERROR(IF(ISBLANK($T107),$S107,$T107)*'Techno-Economic Assumptions'!$D$25,"")</f>
        <v/>
      </c>
      <c r="V107" s="140" t="str">
        <f t="shared" si="20"/>
        <v/>
      </c>
      <c r="W107" s="140" t="str">
        <f>IFERROR(IF(ISBLANK($T107),$S107,$T107)*'Techno-Economic Assumptions'!$D$26,"")</f>
        <v/>
      </c>
      <c r="X107" s="140" t="str">
        <f t="shared" si="17"/>
        <v/>
      </c>
      <c r="Y107" s="141" t="str">
        <f>_xlfn.IFNA(VLOOKUP(I107,'Techno-Economic Assumptions'!$C$31:$D$34,2,FALSE),"")</f>
        <v/>
      </c>
      <c r="Z107" s="136" t="str">
        <f t="shared" si="21"/>
        <v/>
      </c>
      <c r="AA107" s="136" t="str">
        <f t="shared" si="22"/>
        <v/>
      </c>
      <c r="AB107" s="141" t="str">
        <f>IFERROR(Y107+'Techno-Economic Assumptions'!$D$30,"")</f>
        <v/>
      </c>
      <c r="AC107" s="136" t="str">
        <f t="shared" si="18"/>
        <v/>
      </c>
      <c r="AD107" s="136" t="str">
        <f t="shared" si="19"/>
        <v/>
      </c>
    </row>
    <row r="108" spans="2:30" x14ac:dyDescent="0.3">
      <c r="B108" s="36"/>
      <c r="C108" s="36"/>
      <c r="D108" s="37"/>
      <c r="E108" s="37"/>
      <c r="F108" s="38"/>
      <c r="G108" s="41"/>
      <c r="H108" s="36"/>
      <c r="I108" s="36"/>
      <c r="J108" s="35"/>
      <c r="K108" s="42"/>
      <c r="L108" s="93" t="str">
        <f t="shared" si="23"/>
        <v/>
      </c>
      <c r="M108" s="93" t="str">
        <f t="shared" si="24"/>
        <v/>
      </c>
      <c r="N108" s="93" t="str">
        <f t="shared" si="25"/>
        <v/>
      </c>
      <c r="O108" s="93" t="str">
        <f t="shared" si="26"/>
        <v/>
      </c>
      <c r="P108" s="94" t="str">
        <f>IF(G108&gt;0,(CEILING(VLOOKUP($H108,'Techno-Economic Assumptions'!$C$5:$I$17,6,FALSE)*$M108,0.5)),"")</f>
        <v/>
      </c>
      <c r="Q108" s="95" t="str">
        <f>IFERROR($P108*'Techno-Economic Assumptions'!$D$22,"")</f>
        <v/>
      </c>
      <c r="R108" s="95" t="str">
        <f>IF(ISNUMBER(P108),'Techno-Economic Assumptions'!$D$24,"")</f>
        <v/>
      </c>
      <c r="S108" s="94" t="str">
        <f>IF(G108&gt;0,(CEILING(VLOOKUP($H108,'Techno-Economic Assumptions'!$C$5:$I$17,7,FALSE)*$M108,5)),"")</f>
        <v/>
      </c>
      <c r="T108" s="35"/>
      <c r="U108" s="140" t="str">
        <f>IFERROR(IF(ISBLANK($T108),$S108,$T108)*'Techno-Economic Assumptions'!$D$25,"")</f>
        <v/>
      </c>
      <c r="V108" s="140" t="str">
        <f t="shared" si="20"/>
        <v/>
      </c>
      <c r="W108" s="140" t="str">
        <f>IFERROR(IF(ISBLANK($T108),$S108,$T108)*'Techno-Economic Assumptions'!$D$26,"")</f>
        <v/>
      </c>
      <c r="X108" s="140" t="str">
        <f t="shared" si="17"/>
        <v/>
      </c>
      <c r="Y108" s="141" t="str">
        <f>_xlfn.IFNA(VLOOKUP(I108,'Techno-Economic Assumptions'!$C$31:$D$34,2,FALSE),"")</f>
        <v/>
      </c>
      <c r="Z108" s="136" t="str">
        <f t="shared" si="21"/>
        <v/>
      </c>
      <c r="AA108" s="136" t="str">
        <f t="shared" si="22"/>
        <v/>
      </c>
      <c r="AB108" s="141" t="str">
        <f>IFERROR(Y108+'Techno-Economic Assumptions'!$D$30,"")</f>
        <v/>
      </c>
      <c r="AC108" s="136" t="str">
        <f t="shared" si="18"/>
        <v/>
      </c>
      <c r="AD108" s="136" t="str">
        <f t="shared" si="19"/>
        <v/>
      </c>
    </row>
    <row r="109" spans="2:30" x14ac:dyDescent="0.3">
      <c r="B109" s="36"/>
      <c r="C109" s="36"/>
      <c r="D109" s="37"/>
      <c r="E109" s="37"/>
      <c r="F109" s="38"/>
      <c r="G109" s="41"/>
      <c r="H109" s="36"/>
      <c r="I109" s="36"/>
      <c r="J109" s="35"/>
      <c r="K109" s="42"/>
      <c r="L109" s="93" t="str">
        <f t="shared" si="23"/>
        <v/>
      </c>
      <c r="M109" s="93" t="str">
        <f t="shared" si="24"/>
        <v/>
      </c>
      <c r="N109" s="93" t="str">
        <f t="shared" si="25"/>
        <v/>
      </c>
      <c r="O109" s="93" t="str">
        <f t="shared" si="26"/>
        <v/>
      </c>
      <c r="P109" s="94" t="str">
        <f>IF(G109&gt;0,(CEILING(VLOOKUP($H109,'Techno-Economic Assumptions'!$C$5:$I$17,6,FALSE)*$M109,0.5)),"")</f>
        <v/>
      </c>
      <c r="Q109" s="95" t="str">
        <f>IFERROR($P109*'Techno-Economic Assumptions'!$D$22,"")</f>
        <v/>
      </c>
      <c r="R109" s="95" t="str">
        <f>IF(ISNUMBER(P109),'Techno-Economic Assumptions'!$D$24,"")</f>
        <v/>
      </c>
      <c r="S109" s="94" t="str">
        <f>IF(G109&gt;0,(CEILING(VLOOKUP($H109,'Techno-Economic Assumptions'!$C$5:$I$17,7,FALSE)*$M109,5)),"")</f>
        <v/>
      </c>
      <c r="T109" s="35"/>
      <c r="U109" s="140" t="str">
        <f>IFERROR(IF(ISBLANK($T109),$S109,$T109)*'Techno-Economic Assumptions'!$D$25,"")</f>
        <v/>
      </c>
      <c r="V109" s="140" t="str">
        <f t="shared" si="20"/>
        <v/>
      </c>
      <c r="W109" s="140" t="str">
        <f>IFERROR(IF(ISBLANK($T109),$S109,$T109)*'Techno-Economic Assumptions'!$D$26,"")</f>
        <v/>
      </c>
      <c r="X109" s="140" t="str">
        <f t="shared" si="17"/>
        <v/>
      </c>
      <c r="Y109" s="141" t="str">
        <f>_xlfn.IFNA(VLOOKUP(I109,'Techno-Economic Assumptions'!$C$31:$D$34,2,FALSE),"")</f>
        <v/>
      </c>
      <c r="Z109" s="136" t="str">
        <f t="shared" si="21"/>
        <v/>
      </c>
      <c r="AA109" s="136" t="str">
        <f t="shared" si="22"/>
        <v/>
      </c>
      <c r="AB109" s="141" t="str">
        <f>IFERROR(Y109+'Techno-Economic Assumptions'!$D$30,"")</f>
        <v/>
      </c>
      <c r="AC109" s="136" t="str">
        <f t="shared" si="18"/>
        <v/>
      </c>
      <c r="AD109" s="136" t="str">
        <f t="shared" si="19"/>
        <v/>
      </c>
    </row>
    <row r="110" spans="2:30" x14ac:dyDescent="0.3">
      <c r="B110" s="36"/>
      <c r="C110" s="36"/>
      <c r="D110" s="37"/>
      <c r="E110" s="37"/>
      <c r="F110" s="38"/>
      <c r="G110" s="41"/>
      <c r="H110" s="36"/>
      <c r="I110" s="36"/>
      <c r="J110" s="35"/>
      <c r="K110" s="42"/>
      <c r="L110" s="93" t="str">
        <f t="shared" si="23"/>
        <v/>
      </c>
      <c r="M110" s="93" t="str">
        <f t="shared" si="24"/>
        <v/>
      </c>
      <c r="N110" s="93" t="str">
        <f t="shared" si="25"/>
        <v/>
      </c>
      <c r="O110" s="93" t="str">
        <f t="shared" si="26"/>
        <v/>
      </c>
      <c r="P110" s="94" t="str">
        <f>IF(G110&gt;0,(CEILING(VLOOKUP($H110,'Techno-Economic Assumptions'!$C$5:$I$17,6,FALSE)*$M110,0.5)),"")</f>
        <v/>
      </c>
      <c r="Q110" s="95" t="str">
        <f>IFERROR($P110*'Techno-Economic Assumptions'!$D$22,"")</f>
        <v/>
      </c>
      <c r="R110" s="95" t="str">
        <f>IF(ISNUMBER(P110),'Techno-Economic Assumptions'!$D$24,"")</f>
        <v/>
      </c>
      <c r="S110" s="94" t="str">
        <f>IF(G110&gt;0,(CEILING(VLOOKUP($H110,'Techno-Economic Assumptions'!$C$5:$I$17,7,FALSE)*$M110,5)),"")</f>
        <v/>
      </c>
      <c r="T110" s="35"/>
      <c r="U110" s="140" t="str">
        <f>IFERROR(IF(ISBLANK($T110),$S110,$T110)*'Techno-Economic Assumptions'!$D$25,"")</f>
        <v/>
      </c>
      <c r="V110" s="140" t="str">
        <f t="shared" si="20"/>
        <v/>
      </c>
      <c r="W110" s="140" t="str">
        <f>IFERROR(IF(ISBLANK($T110),$S110,$T110)*'Techno-Economic Assumptions'!$D$26,"")</f>
        <v/>
      </c>
      <c r="X110" s="140" t="str">
        <f t="shared" si="17"/>
        <v/>
      </c>
      <c r="Y110" s="141" t="str">
        <f>_xlfn.IFNA(VLOOKUP(I110,'Techno-Economic Assumptions'!$C$31:$D$34,2,FALSE),"")</f>
        <v/>
      </c>
      <c r="Z110" s="136" t="str">
        <f t="shared" si="21"/>
        <v/>
      </c>
      <c r="AA110" s="136" t="str">
        <f t="shared" si="22"/>
        <v/>
      </c>
      <c r="AB110" s="141" t="str">
        <f>IFERROR(Y110+'Techno-Economic Assumptions'!$D$30,"")</f>
        <v/>
      </c>
      <c r="AC110" s="136" t="str">
        <f t="shared" si="18"/>
        <v/>
      </c>
      <c r="AD110" s="136" t="str">
        <f t="shared" si="19"/>
        <v/>
      </c>
    </row>
    <row r="111" spans="2:30" x14ac:dyDescent="0.3">
      <c r="B111" s="36"/>
      <c r="C111" s="36"/>
      <c r="D111" s="37"/>
      <c r="E111" s="37"/>
      <c r="F111" s="38"/>
      <c r="G111" s="41"/>
      <c r="H111" s="36"/>
      <c r="I111" s="36"/>
      <c r="J111" s="35"/>
      <c r="K111" s="42"/>
      <c r="L111" s="93" t="str">
        <f t="shared" si="23"/>
        <v/>
      </c>
      <c r="M111" s="93" t="str">
        <f t="shared" si="24"/>
        <v/>
      </c>
      <c r="N111" s="93" t="str">
        <f t="shared" si="25"/>
        <v/>
      </c>
      <c r="O111" s="93" t="str">
        <f t="shared" si="26"/>
        <v/>
      </c>
      <c r="P111" s="94" t="str">
        <f>IF(G111&gt;0,(CEILING(VLOOKUP($H111,'Techno-Economic Assumptions'!$C$5:$I$17,6,FALSE)*$M111,0.5)),"")</f>
        <v/>
      </c>
      <c r="Q111" s="95" t="str">
        <f>IFERROR($P111*'Techno-Economic Assumptions'!$D$22,"")</f>
        <v/>
      </c>
      <c r="R111" s="95" t="str">
        <f>IF(ISNUMBER(P111),'Techno-Economic Assumptions'!$D$24,"")</f>
        <v/>
      </c>
      <c r="S111" s="94" t="str">
        <f>IF(G111&gt;0,(CEILING(VLOOKUP($H111,'Techno-Economic Assumptions'!$C$5:$I$17,7,FALSE)*$M111,5)),"")</f>
        <v/>
      </c>
      <c r="T111" s="35"/>
      <c r="U111" s="140" t="str">
        <f>IFERROR(IF(ISBLANK($T111),$S111,$T111)*'Techno-Economic Assumptions'!$D$25,"")</f>
        <v/>
      </c>
      <c r="V111" s="140" t="str">
        <f t="shared" si="20"/>
        <v/>
      </c>
      <c r="W111" s="140" t="str">
        <f>IFERROR(IF(ISBLANK($T111),$S111,$T111)*'Techno-Economic Assumptions'!$D$26,"")</f>
        <v/>
      </c>
      <c r="X111" s="140" t="str">
        <f t="shared" si="17"/>
        <v/>
      </c>
      <c r="Y111" s="141" t="str">
        <f>_xlfn.IFNA(VLOOKUP(I111,'Techno-Economic Assumptions'!$C$31:$D$34,2,FALSE),"")</f>
        <v/>
      </c>
      <c r="Z111" s="136" t="str">
        <f t="shared" si="21"/>
        <v/>
      </c>
      <c r="AA111" s="136" t="str">
        <f t="shared" si="22"/>
        <v/>
      </c>
      <c r="AB111" s="141" t="str">
        <f>IFERROR(Y111+'Techno-Economic Assumptions'!$D$30,"")</f>
        <v/>
      </c>
      <c r="AC111" s="136" t="str">
        <f t="shared" si="18"/>
        <v/>
      </c>
      <c r="AD111" s="136" t="str">
        <f t="shared" si="19"/>
        <v/>
      </c>
    </row>
    <row r="112" spans="2:30" x14ac:dyDescent="0.3">
      <c r="B112" s="36"/>
      <c r="C112" s="36"/>
      <c r="D112" s="37"/>
      <c r="E112" s="37"/>
      <c r="F112" s="38"/>
      <c r="G112" s="41"/>
      <c r="H112" s="36"/>
      <c r="I112" s="36"/>
      <c r="J112" s="35"/>
      <c r="K112" s="42"/>
      <c r="L112" s="93" t="str">
        <f t="shared" si="23"/>
        <v/>
      </c>
      <c r="M112" s="93" t="str">
        <f t="shared" si="24"/>
        <v/>
      </c>
      <c r="N112" s="93" t="str">
        <f t="shared" si="25"/>
        <v/>
      </c>
      <c r="O112" s="93" t="str">
        <f t="shared" si="26"/>
        <v/>
      </c>
      <c r="P112" s="94" t="str">
        <f>IF(G112&gt;0,(CEILING(VLOOKUP($H112,'Techno-Economic Assumptions'!$C$5:$I$17,6,FALSE)*$M112,0.5)),"")</f>
        <v/>
      </c>
      <c r="Q112" s="95" t="str">
        <f>IFERROR($P112*'Techno-Economic Assumptions'!$D$22,"")</f>
        <v/>
      </c>
      <c r="R112" s="95" t="str">
        <f>IF(ISNUMBER(P112),'Techno-Economic Assumptions'!$D$24,"")</f>
        <v/>
      </c>
      <c r="S112" s="94" t="str">
        <f>IF(G112&gt;0,(CEILING(VLOOKUP($H112,'Techno-Economic Assumptions'!$C$5:$I$17,7,FALSE)*$M112,5)),"")</f>
        <v/>
      </c>
      <c r="T112" s="35"/>
      <c r="U112" s="140" t="str">
        <f>IFERROR(IF(ISBLANK($T112),$S112,$T112)*'Techno-Economic Assumptions'!$D$25,"")</f>
        <v/>
      </c>
      <c r="V112" s="140" t="str">
        <f t="shared" si="20"/>
        <v/>
      </c>
      <c r="W112" s="140" t="str">
        <f>IFERROR(IF(ISBLANK($T112),$S112,$T112)*'Techno-Economic Assumptions'!$D$26,"")</f>
        <v/>
      </c>
      <c r="X112" s="140" t="str">
        <f t="shared" si="17"/>
        <v/>
      </c>
      <c r="Y112" s="141" t="str">
        <f>_xlfn.IFNA(VLOOKUP(I112,'Techno-Economic Assumptions'!$C$31:$D$34,2,FALSE),"")</f>
        <v/>
      </c>
      <c r="Z112" s="136" t="str">
        <f t="shared" si="21"/>
        <v/>
      </c>
      <c r="AA112" s="136" t="str">
        <f t="shared" si="22"/>
        <v/>
      </c>
      <c r="AB112" s="141" t="str">
        <f>IFERROR(Y112+'Techno-Economic Assumptions'!$D$30,"")</f>
        <v/>
      </c>
      <c r="AC112" s="136" t="str">
        <f t="shared" si="18"/>
        <v/>
      </c>
      <c r="AD112" s="136" t="str">
        <f t="shared" si="19"/>
        <v/>
      </c>
    </row>
    <row r="113" spans="2:30" x14ac:dyDescent="0.3">
      <c r="B113" s="36"/>
      <c r="C113" s="36"/>
      <c r="D113" s="37"/>
      <c r="E113" s="37"/>
      <c r="F113" s="38"/>
      <c r="G113" s="41"/>
      <c r="H113" s="36"/>
      <c r="I113" s="36"/>
      <c r="J113" s="35"/>
      <c r="K113" s="42"/>
      <c r="L113" s="93" t="str">
        <f t="shared" si="23"/>
        <v/>
      </c>
      <c r="M113" s="93" t="str">
        <f t="shared" si="24"/>
        <v/>
      </c>
      <c r="N113" s="93" t="str">
        <f t="shared" si="25"/>
        <v/>
      </c>
      <c r="O113" s="93" t="str">
        <f t="shared" si="26"/>
        <v/>
      </c>
      <c r="P113" s="94" t="str">
        <f>IF(G113&gt;0,(CEILING(VLOOKUP($H113,'Techno-Economic Assumptions'!$C$5:$I$17,6,FALSE)*$M113,0.5)),"")</f>
        <v/>
      </c>
      <c r="Q113" s="95" t="str">
        <f>IFERROR($P113*'Techno-Economic Assumptions'!$D$22,"")</f>
        <v/>
      </c>
      <c r="R113" s="95" t="str">
        <f>IF(ISNUMBER(P113),'Techno-Economic Assumptions'!$D$24,"")</f>
        <v/>
      </c>
      <c r="S113" s="94" t="str">
        <f>IF(G113&gt;0,(CEILING(VLOOKUP($H113,'Techno-Economic Assumptions'!$C$5:$I$17,7,FALSE)*$M113,5)),"")</f>
        <v/>
      </c>
      <c r="T113" s="35"/>
      <c r="U113" s="140" t="str">
        <f>IFERROR(IF(ISBLANK($T113),$S113,$T113)*'Techno-Economic Assumptions'!$D$25,"")</f>
        <v/>
      </c>
      <c r="V113" s="140" t="str">
        <f t="shared" si="20"/>
        <v/>
      </c>
      <c r="W113" s="140" t="str">
        <f>IFERROR(IF(ISBLANK($T113),$S113,$T113)*'Techno-Economic Assumptions'!$D$26,"")</f>
        <v/>
      </c>
      <c r="X113" s="140" t="str">
        <f t="shared" si="17"/>
        <v/>
      </c>
      <c r="Y113" s="141" t="str">
        <f>_xlfn.IFNA(VLOOKUP(I113,'Techno-Economic Assumptions'!$C$31:$D$34,2,FALSE),"")</f>
        <v/>
      </c>
      <c r="Z113" s="136" t="str">
        <f t="shared" si="21"/>
        <v/>
      </c>
      <c r="AA113" s="136" t="str">
        <f t="shared" si="22"/>
        <v/>
      </c>
      <c r="AB113" s="141" t="str">
        <f>IFERROR(Y113+'Techno-Economic Assumptions'!$D$30,"")</f>
        <v/>
      </c>
      <c r="AC113" s="136" t="str">
        <f t="shared" si="18"/>
        <v/>
      </c>
      <c r="AD113" s="136" t="str">
        <f t="shared" si="19"/>
        <v/>
      </c>
    </row>
    <row r="114" spans="2:30" x14ac:dyDescent="0.3">
      <c r="B114" s="36"/>
      <c r="C114" s="36"/>
      <c r="D114" s="37"/>
      <c r="E114" s="37"/>
      <c r="F114" s="38"/>
      <c r="G114" s="41"/>
      <c r="H114" s="36"/>
      <c r="I114" s="36"/>
      <c r="J114" s="35"/>
      <c r="K114" s="42"/>
      <c r="L114" s="93" t="str">
        <f t="shared" si="23"/>
        <v/>
      </c>
      <c r="M114" s="93" t="str">
        <f t="shared" si="24"/>
        <v/>
      </c>
      <c r="N114" s="93" t="str">
        <f t="shared" si="25"/>
        <v/>
      </c>
      <c r="O114" s="93" t="str">
        <f t="shared" si="26"/>
        <v/>
      </c>
      <c r="P114" s="94" t="str">
        <f>IF(G114&gt;0,(CEILING(VLOOKUP($H114,'Techno-Economic Assumptions'!$C$5:$I$17,6,FALSE)*$M114,0.5)),"")</f>
        <v/>
      </c>
      <c r="Q114" s="95" t="str">
        <f>IFERROR($P114*'Techno-Economic Assumptions'!$D$22,"")</f>
        <v/>
      </c>
      <c r="R114" s="95" t="str">
        <f>IF(ISNUMBER(P114),'Techno-Economic Assumptions'!$D$24,"")</f>
        <v/>
      </c>
      <c r="S114" s="94" t="str">
        <f>IF(G114&gt;0,(CEILING(VLOOKUP($H114,'Techno-Economic Assumptions'!$C$5:$I$17,7,FALSE)*$M114,5)),"")</f>
        <v/>
      </c>
      <c r="T114" s="35"/>
      <c r="U114" s="140" t="str">
        <f>IFERROR(IF(ISBLANK($T114),$S114,$T114)*'Techno-Economic Assumptions'!$D$25,"")</f>
        <v/>
      </c>
      <c r="V114" s="140" t="str">
        <f t="shared" si="20"/>
        <v/>
      </c>
      <c r="W114" s="140" t="str">
        <f>IFERROR(IF(ISBLANK($T114),$S114,$T114)*'Techno-Economic Assumptions'!$D$26,"")</f>
        <v/>
      </c>
      <c r="X114" s="140" t="str">
        <f t="shared" si="17"/>
        <v/>
      </c>
      <c r="Y114" s="141" t="str">
        <f>_xlfn.IFNA(VLOOKUP(I114,'Techno-Economic Assumptions'!$C$31:$D$34,2,FALSE),"")</f>
        <v/>
      </c>
      <c r="Z114" s="136" t="str">
        <f t="shared" si="21"/>
        <v/>
      </c>
      <c r="AA114" s="136" t="str">
        <f t="shared" si="22"/>
        <v/>
      </c>
      <c r="AB114" s="141" t="str">
        <f>IFERROR(Y114+'Techno-Economic Assumptions'!$D$30,"")</f>
        <v/>
      </c>
      <c r="AC114" s="136" t="str">
        <f t="shared" si="18"/>
        <v/>
      </c>
      <c r="AD114" s="136" t="str">
        <f t="shared" si="19"/>
        <v/>
      </c>
    </row>
    <row r="115" spans="2:30" x14ac:dyDescent="0.3">
      <c r="B115" s="36"/>
      <c r="C115" s="36"/>
      <c r="D115" s="37"/>
      <c r="E115" s="37"/>
      <c r="F115" s="38"/>
      <c r="G115" s="41"/>
      <c r="H115" s="36"/>
      <c r="I115" s="36"/>
      <c r="J115" s="35"/>
      <c r="K115" s="42"/>
      <c r="L115" s="93" t="str">
        <f t="shared" si="23"/>
        <v/>
      </c>
      <c r="M115" s="93" t="str">
        <f t="shared" si="24"/>
        <v/>
      </c>
      <c r="N115" s="93" t="str">
        <f t="shared" si="25"/>
        <v/>
      </c>
      <c r="O115" s="93" t="str">
        <f t="shared" si="26"/>
        <v/>
      </c>
      <c r="P115" s="94" t="str">
        <f>IF(G115&gt;0,(CEILING(VLOOKUP($H115,'Techno-Economic Assumptions'!$C$5:$I$17,6,FALSE)*$M115,0.5)),"")</f>
        <v/>
      </c>
      <c r="Q115" s="95" t="str">
        <f>IFERROR($P115*'Techno-Economic Assumptions'!$D$22,"")</f>
        <v/>
      </c>
      <c r="R115" s="95" t="str">
        <f>IF(ISNUMBER(P115),'Techno-Economic Assumptions'!$D$24,"")</f>
        <v/>
      </c>
      <c r="S115" s="94" t="str">
        <f>IF(G115&gt;0,(CEILING(VLOOKUP($H115,'Techno-Economic Assumptions'!$C$5:$I$17,7,FALSE)*$M115,5)),"")</f>
        <v/>
      </c>
      <c r="T115" s="35"/>
      <c r="U115" s="140" t="str">
        <f>IFERROR(IF(ISBLANK($T115),$S115,$T115)*'Techno-Economic Assumptions'!$D$25,"")</f>
        <v/>
      </c>
      <c r="V115" s="140" t="str">
        <f t="shared" si="20"/>
        <v/>
      </c>
      <c r="W115" s="140" t="str">
        <f>IFERROR(IF(ISBLANK($T115),$S115,$T115)*'Techno-Economic Assumptions'!$D$26,"")</f>
        <v/>
      </c>
      <c r="X115" s="140" t="str">
        <f t="shared" si="17"/>
        <v/>
      </c>
      <c r="Y115" s="141" t="str">
        <f>_xlfn.IFNA(VLOOKUP(I115,'Techno-Economic Assumptions'!$C$31:$D$34,2,FALSE),"")</f>
        <v/>
      </c>
      <c r="Z115" s="136" t="str">
        <f t="shared" si="21"/>
        <v/>
      </c>
      <c r="AA115" s="136" t="str">
        <f t="shared" si="22"/>
        <v/>
      </c>
      <c r="AB115" s="141" t="str">
        <f>IFERROR(Y115+'Techno-Economic Assumptions'!$D$30,"")</f>
        <v/>
      </c>
      <c r="AC115" s="136" t="str">
        <f t="shared" si="18"/>
        <v/>
      </c>
      <c r="AD115" s="136" t="str">
        <f t="shared" si="19"/>
        <v/>
      </c>
    </row>
    <row r="116" spans="2:30" x14ac:dyDescent="0.3">
      <c r="B116" s="36"/>
      <c r="C116" s="36"/>
      <c r="D116" s="37"/>
      <c r="E116" s="37"/>
      <c r="F116" s="38"/>
      <c r="G116" s="41"/>
      <c r="H116" s="36"/>
      <c r="I116" s="36"/>
      <c r="J116" s="35"/>
      <c r="K116" s="42"/>
      <c r="L116" s="93" t="str">
        <f t="shared" si="23"/>
        <v/>
      </c>
      <c r="M116" s="93" t="str">
        <f t="shared" si="24"/>
        <v/>
      </c>
      <c r="N116" s="93" t="str">
        <f t="shared" si="25"/>
        <v/>
      </c>
      <c r="O116" s="93" t="str">
        <f t="shared" si="26"/>
        <v/>
      </c>
      <c r="P116" s="94" t="str">
        <f>IF(G116&gt;0,(CEILING(VLOOKUP($H116,'Techno-Economic Assumptions'!$C$5:$I$17,6,FALSE)*$M116,0.5)),"")</f>
        <v/>
      </c>
      <c r="Q116" s="95" t="str">
        <f>IFERROR($P116*'Techno-Economic Assumptions'!$D$22,"")</f>
        <v/>
      </c>
      <c r="R116" s="95" t="str">
        <f>IF(ISNUMBER(P116),'Techno-Economic Assumptions'!$D$24,"")</f>
        <v/>
      </c>
      <c r="S116" s="94" t="str">
        <f>IF(G116&gt;0,(CEILING(VLOOKUP($H116,'Techno-Economic Assumptions'!$C$5:$I$17,7,FALSE)*$M116,5)),"")</f>
        <v/>
      </c>
      <c r="T116" s="35"/>
      <c r="U116" s="140" t="str">
        <f>IFERROR(IF(ISBLANK($T116),$S116,$T116)*'Techno-Economic Assumptions'!$D$25,"")</f>
        <v/>
      </c>
      <c r="V116" s="140" t="str">
        <f t="shared" si="20"/>
        <v/>
      </c>
      <c r="W116" s="140" t="str">
        <f>IFERROR(IF(ISBLANK($T116),$S116,$T116)*'Techno-Economic Assumptions'!$D$26,"")</f>
        <v/>
      </c>
      <c r="X116" s="140" t="str">
        <f t="shared" si="17"/>
        <v/>
      </c>
      <c r="Y116" s="141" t="str">
        <f>_xlfn.IFNA(VLOOKUP(I116,'Techno-Economic Assumptions'!$C$31:$D$34,2,FALSE),"")</f>
        <v/>
      </c>
      <c r="Z116" s="136" t="str">
        <f t="shared" si="21"/>
        <v/>
      </c>
      <c r="AA116" s="136" t="str">
        <f t="shared" si="22"/>
        <v/>
      </c>
      <c r="AB116" s="141" t="str">
        <f>IFERROR(Y116+'Techno-Economic Assumptions'!$D$30,"")</f>
        <v/>
      </c>
      <c r="AC116" s="136" t="str">
        <f t="shared" si="18"/>
        <v/>
      </c>
      <c r="AD116" s="136" t="str">
        <f t="shared" si="19"/>
        <v/>
      </c>
    </row>
    <row r="117" spans="2:30" x14ac:dyDescent="0.3">
      <c r="B117" s="36"/>
      <c r="C117" s="36"/>
      <c r="D117" s="37"/>
      <c r="E117" s="37"/>
      <c r="F117" s="38"/>
      <c r="G117" s="41"/>
      <c r="H117" s="36"/>
      <c r="I117" s="36"/>
      <c r="J117" s="35"/>
      <c r="K117" s="42"/>
      <c r="L117" s="93" t="str">
        <f t="shared" si="23"/>
        <v/>
      </c>
      <c r="M117" s="93" t="str">
        <f t="shared" si="24"/>
        <v/>
      </c>
      <c r="N117" s="93" t="str">
        <f t="shared" si="25"/>
        <v/>
      </c>
      <c r="O117" s="93" t="str">
        <f t="shared" si="26"/>
        <v/>
      </c>
      <c r="P117" s="94" t="str">
        <f>IF(G117&gt;0,(CEILING(VLOOKUP($H117,'Techno-Economic Assumptions'!$C$5:$I$17,6,FALSE)*$M117,0.5)),"")</f>
        <v/>
      </c>
      <c r="Q117" s="95" t="str">
        <f>IFERROR($P117*'Techno-Economic Assumptions'!$D$22,"")</f>
        <v/>
      </c>
      <c r="R117" s="95" t="str">
        <f>IF(ISNUMBER(P117),'Techno-Economic Assumptions'!$D$24,"")</f>
        <v/>
      </c>
      <c r="S117" s="94" t="str">
        <f>IF(G117&gt;0,(CEILING(VLOOKUP($H117,'Techno-Economic Assumptions'!$C$5:$I$17,7,FALSE)*$M117,5)),"")</f>
        <v/>
      </c>
      <c r="T117" s="35"/>
      <c r="U117" s="140" t="str">
        <f>IFERROR(IF(ISBLANK($T117),$S117,$T117)*'Techno-Economic Assumptions'!$D$25,"")</f>
        <v/>
      </c>
      <c r="V117" s="140" t="str">
        <f t="shared" si="20"/>
        <v/>
      </c>
      <c r="W117" s="140" t="str">
        <f>IFERROR(IF(ISBLANK($T117),$S117,$T117)*'Techno-Economic Assumptions'!$D$26,"")</f>
        <v/>
      </c>
      <c r="X117" s="140" t="str">
        <f t="shared" si="17"/>
        <v/>
      </c>
      <c r="Y117" s="141" t="str">
        <f>_xlfn.IFNA(VLOOKUP(I117,'Techno-Economic Assumptions'!$C$31:$D$34,2,FALSE),"")</f>
        <v/>
      </c>
      <c r="Z117" s="136" t="str">
        <f t="shared" si="21"/>
        <v/>
      </c>
      <c r="AA117" s="136" t="str">
        <f t="shared" si="22"/>
        <v/>
      </c>
      <c r="AB117" s="141" t="str">
        <f>IFERROR(Y117+'Techno-Economic Assumptions'!$D$30,"")</f>
        <v/>
      </c>
      <c r="AC117" s="136" t="str">
        <f t="shared" si="18"/>
        <v/>
      </c>
      <c r="AD117" s="136" t="str">
        <f t="shared" si="19"/>
        <v/>
      </c>
    </row>
    <row r="118" spans="2:30" x14ac:dyDescent="0.3">
      <c r="B118" s="36"/>
      <c r="C118" s="36"/>
      <c r="D118" s="37"/>
      <c r="E118" s="37"/>
      <c r="F118" s="38"/>
      <c r="G118" s="41"/>
      <c r="H118" s="36"/>
      <c r="I118" s="36"/>
      <c r="J118" s="35"/>
      <c r="K118" s="42"/>
      <c r="L118" s="93" t="str">
        <f t="shared" si="23"/>
        <v/>
      </c>
      <c r="M118" s="93" t="str">
        <f t="shared" si="24"/>
        <v/>
      </c>
      <c r="N118" s="93" t="str">
        <f t="shared" si="25"/>
        <v/>
      </c>
      <c r="O118" s="93" t="str">
        <f t="shared" si="26"/>
        <v/>
      </c>
      <c r="P118" s="94" t="str">
        <f>IF(G118&gt;0,(CEILING(VLOOKUP($H118,'Techno-Economic Assumptions'!$C$5:$I$17,6,FALSE)*$M118,0.5)),"")</f>
        <v/>
      </c>
      <c r="Q118" s="95" t="str">
        <f>IFERROR($P118*'Techno-Economic Assumptions'!$D$22,"")</f>
        <v/>
      </c>
      <c r="R118" s="95" t="str">
        <f>IF(ISNUMBER(P118),'Techno-Economic Assumptions'!$D$24,"")</f>
        <v/>
      </c>
      <c r="S118" s="94" t="str">
        <f>IF(G118&gt;0,(CEILING(VLOOKUP($H118,'Techno-Economic Assumptions'!$C$5:$I$17,7,FALSE)*$M118,5)),"")</f>
        <v/>
      </c>
      <c r="T118" s="35"/>
      <c r="U118" s="140" t="str">
        <f>IFERROR(IF(ISBLANK($T118),$S118,$T118)*'Techno-Economic Assumptions'!$D$25,"")</f>
        <v/>
      </c>
      <c r="V118" s="140" t="str">
        <f t="shared" si="20"/>
        <v/>
      </c>
      <c r="W118" s="140" t="str">
        <f>IFERROR(IF(ISBLANK($T118),$S118,$T118)*'Techno-Economic Assumptions'!$D$26,"")</f>
        <v/>
      </c>
      <c r="X118" s="140" t="str">
        <f t="shared" si="17"/>
        <v/>
      </c>
      <c r="Y118" s="141" t="str">
        <f>_xlfn.IFNA(VLOOKUP(I118,'Techno-Economic Assumptions'!$C$31:$D$34,2,FALSE),"")</f>
        <v/>
      </c>
      <c r="Z118" s="136" t="str">
        <f t="shared" si="21"/>
        <v/>
      </c>
      <c r="AA118" s="136" t="str">
        <f t="shared" si="22"/>
        <v/>
      </c>
      <c r="AB118" s="141" t="str">
        <f>IFERROR(Y118+'Techno-Economic Assumptions'!$D$30,"")</f>
        <v/>
      </c>
      <c r="AC118" s="136" t="str">
        <f t="shared" si="18"/>
        <v/>
      </c>
      <c r="AD118" s="136" t="str">
        <f t="shared" si="19"/>
        <v/>
      </c>
    </row>
    <row r="119" spans="2:30" x14ac:dyDescent="0.3">
      <c r="B119" s="36"/>
      <c r="C119" s="36"/>
      <c r="D119" s="37"/>
      <c r="E119" s="37"/>
      <c r="F119" s="38"/>
      <c r="G119" s="41"/>
      <c r="H119" s="36"/>
      <c r="I119" s="36"/>
      <c r="J119" s="35"/>
      <c r="K119" s="42"/>
      <c r="L119" s="93" t="str">
        <f t="shared" si="23"/>
        <v/>
      </c>
      <c r="M119" s="93" t="str">
        <f t="shared" si="24"/>
        <v/>
      </c>
      <c r="N119" s="93" t="str">
        <f t="shared" si="25"/>
        <v/>
      </c>
      <c r="O119" s="93" t="str">
        <f t="shared" si="26"/>
        <v/>
      </c>
      <c r="P119" s="94" t="str">
        <f>IF(G119&gt;0,(CEILING(VLOOKUP($H119,'Techno-Economic Assumptions'!$C$5:$I$17,6,FALSE)*$M119,0.5)),"")</f>
        <v/>
      </c>
      <c r="Q119" s="95" t="str">
        <f>IFERROR($P119*'Techno-Economic Assumptions'!$D$22,"")</f>
        <v/>
      </c>
      <c r="R119" s="95" t="str">
        <f>IF(ISNUMBER(P119),'Techno-Economic Assumptions'!$D$24,"")</f>
        <v/>
      </c>
      <c r="S119" s="94" t="str">
        <f>IF(G119&gt;0,(CEILING(VLOOKUP($H119,'Techno-Economic Assumptions'!$C$5:$I$17,7,FALSE)*$M119,5)),"")</f>
        <v/>
      </c>
      <c r="T119" s="35"/>
      <c r="U119" s="140" t="str">
        <f>IFERROR(IF(ISBLANK($T119),$S119,$T119)*'Techno-Economic Assumptions'!$D$25,"")</f>
        <v/>
      </c>
      <c r="V119" s="140" t="str">
        <f t="shared" si="20"/>
        <v/>
      </c>
      <c r="W119" s="140" t="str">
        <f>IFERROR(IF(ISBLANK($T119),$S119,$T119)*'Techno-Economic Assumptions'!$D$26,"")</f>
        <v/>
      </c>
      <c r="X119" s="140" t="str">
        <f t="shared" si="17"/>
        <v/>
      </c>
      <c r="Y119" s="141" t="str">
        <f>_xlfn.IFNA(VLOOKUP(I119,'Techno-Economic Assumptions'!$C$31:$D$34,2,FALSE),"")</f>
        <v/>
      </c>
      <c r="Z119" s="136" t="str">
        <f t="shared" si="21"/>
        <v/>
      </c>
      <c r="AA119" s="136" t="str">
        <f t="shared" si="22"/>
        <v/>
      </c>
      <c r="AB119" s="141" t="str">
        <f>IFERROR(Y119+'Techno-Economic Assumptions'!$D$30,"")</f>
        <v/>
      </c>
      <c r="AC119" s="136" t="str">
        <f t="shared" si="18"/>
        <v/>
      </c>
      <c r="AD119" s="136" t="str">
        <f t="shared" si="19"/>
        <v/>
      </c>
    </row>
    <row r="120" spans="2:30" x14ac:dyDescent="0.3">
      <c r="B120" s="36"/>
      <c r="C120" s="36"/>
      <c r="D120" s="37"/>
      <c r="E120" s="37"/>
      <c r="F120" s="38"/>
      <c r="G120" s="41"/>
      <c r="H120" s="36"/>
      <c r="I120" s="36"/>
      <c r="J120" s="35"/>
      <c r="K120" s="42"/>
      <c r="L120" s="93" t="str">
        <f t="shared" si="23"/>
        <v/>
      </c>
      <c r="M120" s="93" t="str">
        <f t="shared" si="24"/>
        <v/>
      </c>
      <c r="N120" s="93" t="str">
        <f t="shared" si="25"/>
        <v/>
      </c>
      <c r="O120" s="93" t="str">
        <f t="shared" si="26"/>
        <v/>
      </c>
      <c r="P120" s="94" t="str">
        <f>IF(G120&gt;0,(CEILING(VLOOKUP($H120,'Techno-Economic Assumptions'!$C$5:$I$17,6,FALSE)*$M120,0.5)),"")</f>
        <v/>
      </c>
      <c r="Q120" s="95" t="str">
        <f>IFERROR($P120*'Techno-Economic Assumptions'!$D$22,"")</f>
        <v/>
      </c>
      <c r="R120" s="95" t="str">
        <f>IF(ISNUMBER(P120),'Techno-Economic Assumptions'!$D$24,"")</f>
        <v/>
      </c>
      <c r="S120" s="94" t="str">
        <f>IF(G120&gt;0,(CEILING(VLOOKUP($H120,'Techno-Economic Assumptions'!$C$5:$I$17,7,FALSE)*$M120,5)),"")</f>
        <v/>
      </c>
      <c r="T120" s="35"/>
      <c r="U120" s="140" t="str">
        <f>IFERROR(IF(ISBLANK($T120),$S120,$T120)*'Techno-Economic Assumptions'!$D$25,"")</f>
        <v/>
      </c>
      <c r="V120" s="140" t="str">
        <f t="shared" si="20"/>
        <v/>
      </c>
      <c r="W120" s="140" t="str">
        <f>IFERROR(IF(ISBLANK($T120),$S120,$T120)*'Techno-Economic Assumptions'!$D$26,"")</f>
        <v/>
      </c>
      <c r="X120" s="140" t="str">
        <f t="shared" si="17"/>
        <v/>
      </c>
      <c r="Y120" s="141" t="str">
        <f>_xlfn.IFNA(VLOOKUP(I120,'Techno-Economic Assumptions'!$C$31:$D$34,2,FALSE),"")</f>
        <v/>
      </c>
      <c r="Z120" s="136" t="str">
        <f t="shared" si="21"/>
        <v/>
      </c>
      <c r="AA120" s="136" t="str">
        <f t="shared" si="22"/>
        <v/>
      </c>
      <c r="AB120" s="141" t="str">
        <f>IFERROR(Y120+'Techno-Economic Assumptions'!$D$30,"")</f>
        <v/>
      </c>
      <c r="AC120" s="136" t="str">
        <f t="shared" si="18"/>
        <v/>
      </c>
      <c r="AD120" s="136" t="str">
        <f t="shared" si="19"/>
        <v/>
      </c>
    </row>
    <row r="121" spans="2:30" x14ac:dyDescent="0.3">
      <c r="B121" s="44"/>
      <c r="C121" s="44"/>
      <c r="D121" s="45"/>
      <c r="E121" s="45"/>
      <c r="F121" s="46"/>
      <c r="G121" s="47"/>
      <c r="H121" s="44"/>
      <c r="I121" s="44"/>
      <c r="J121" s="43"/>
      <c r="K121" s="48"/>
      <c r="L121" s="93" t="str">
        <f t="shared" si="23"/>
        <v/>
      </c>
      <c r="M121" s="93" t="str">
        <f t="shared" si="24"/>
        <v/>
      </c>
      <c r="N121" s="93" t="str">
        <f t="shared" si="25"/>
        <v/>
      </c>
      <c r="O121" s="93" t="str">
        <f t="shared" si="26"/>
        <v/>
      </c>
      <c r="P121" s="94" t="str">
        <f>IF(G121&gt;0,(CEILING(VLOOKUP($H121,'Techno-Economic Assumptions'!$C$5:$I$17,6,FALSE)*$M121,0.5)),"")</f>
        <v/>
      </c>
      <c r="Q121" s="96" t="str">
        <f>IFERROR($P121*'Techno-Economic Assumptions'!$D$22,"")</f>
        <v/>
      </c>
      <c r="R121" s="96" t="str">
        <f>IF(ISNUMBER(P121),'Techno-Economic Assumptions'!$D$24,"")</f>
        <v/>
      </c>
      <c r="S121" s="94" t="str">
        <f>IF(G121&gt;0,(CEILING(VLOOKUP($H121,'Techno-Economic Assumptions'!$C$5:$I$17,7,FALSE)*$M121,5)),"")</f>
        <v/>
      </c>
      <c r="T121" s="43"/>
      <c r="U121" s="142" t="str">
        <f>IFERROR(IF(ISBLANK($T121),$S121,$T121)*'Techno-Economic Assumptions'!$D$25,"")</f>
        <v/>
      </c>
      <c r="V121" s="142" t="str">
        <f t="shared" si="20"/>
        <v/>
      </c>
      <c r="W121" s="142" t="str">
        <f>IFERROR(IF(ISBLANK($T121),$S121,$T121)*'Techno-Economic Assumptions'!$D$26,"")</f>
        <v/>
      </c>
      <c r="X121" s="142" t="str">
        <f t="shared" ref="X121" si="27">IF(I121="Not working",W121,
IF(OR(I121="Poor",I121="Acceptable"),V121,""))</f>
        <v/>
      </c>
      <c r="Y121" s="143" t="str">
        <f>_xlfn.IFNA(VLOOKUP(I121,'Techno-Economic Assumptions'!$C$31:$D$34,2,FALSE),"")</f>
        <v/>
      </c>
      <c r="Z121" s="137" t="str">
        <f t="shared" si="21"/>
        <v/>
      </c>
      <c r="AA121" s="137" t="str">
        <f t="shared" si="22"/>
        <v/>
      </c>
      <c r="AB121" s="143" t="str">
        <f>IFERROR(Y121+'Techno-Economic Assumptions'!$D$30,"")</f>
        <v/>
      </c>
      <c r="AC121" s="137" t="str">
        <f t="shared" si="18"/>
        <v/>
      </c>
      <c r="AD121" s="137" t="str">
        <f t="shared" si="19"/>
        <v/>
      </c>
    </row>
    <row r="122" spans="2:30" x14ac:dyDescent="0.3"/>
  </sheetData>
  <sheetProtection algorithmName="SHA-512" hashValue="o/1LXM0twtl52WsF1yYy7qDr7RuloKCXiS3Joqnb9BTNsp9I/+a2D2XKgANtDSMFYUgrC6puaMuWYaXVmzz1Ww==" saltValue="0RHLGGLnX3Lef0j17z+R2Q==" spinCount="100000" sheet="1" objects="1" scenarios="1"/>
  <mergeCells count="6">
    <mergeCell ref="AB22:AD22"/>
    <mergeCell ref="S22:T22"/>
    <mergeCell ref="B5:B8"/>
    <mergeCell ref="B10:B14"/>
    <mergeCell ref="B17:B20"/>
    <mergeCell ref="Y22:AA22"/>
  </mergeCells>
  <phoneticPr fontId="4" type="noConversion"/>
  <dataValidations count="3">
    <dataValidation type="list" allowBlank="1" showInputMessage="1" showErrorMessage="1" sqref="H25:H121" xr:uid="{43BF2807-5C2C-4F85-99F3-F5CE3B1A9A7C}">
      <formula1>BuildingCategory</formula1>
    </dataValidation>
    <dataValidation type="list" allowBlank="1" showInputMessage="1" showErrorMessage="1" sqref="I25:I121" xr:uid="{ADCDFF72-0614-4374-A68B-5564C130A809}">
      <formula1>StateOfExistingBMS</formula1>
    </dataValidation>
    <dataValidation type="list" allowBlank="1" showInputMessage="1" showErrorMessage="1" sqref="D25:D121" xr:uid="{30972A71-7FCE-47A4-97EE-DA563128D9EB}">
      <formula1>BuildingZones</formula1>
    </dataValidation>
  </dataValidations>
  <pageMargins left="0.7" right="0.7" top="0.75" bottom="0.75" header="0.3" footer="0.3"/>
  <pageSetup paperSize="9" orientation="portrait" r:id="rId1"/>
  <headerFooter>
    <oddFooter>&amp;L&amp;1#&amp;"Calibri"&amp;10&amp;K000000 -------------------------------------------------------- This document is marked as confidential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28E783D-8575-46A4-96CA-0ABE4778493A}">
          <x14:formula1>
            <xm:f>Lists!$D$2:$D$4</xm:f>
          </x14:formula1>
          <xm:sqref>D6:E6</xm:sqref>
        </x14:dataValidation>
        <x14:dataValidation type="list" allowBlank="1" showInputMessage="1" showErrorMessage="1" xr:uid="{EA28015B-FB25-4498-B7C9-87A109D20C2E}">
          <x14:formula1>
            <xm:f>'Emission factors'!$B$4:$B$8</xm:f>
          </x14:formula1>
          <xm:sqref>E11:E13</xm:sqref>
        </x14:dataValidation>
        <x14:dataValidation type="list" allowBlank="1" showInputMessage="1" showErrorMessage="1" xr:uid="{6537776A-89FF-46D8-BD61-6783B5721918}">
          <x14:formula1>
            <xm:f>'Emission factors'!$F$4:$F$6</xm:f>
          </x14:formula1>
          <xm:sqref>E25:E121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A06F-F70F-41D5-94D6-9CD69F5EC899}">
  <sheetPr codeName="Sheet4">
    <pageSetUpPr autoPageBreaks="0"/>
  </sheetPr>
  <dimension ref="A1:G50"/>
  <sheetViews>
    <sheetView showGridLines="0" zoomScale="115" zoomScaleNormal="115" workbookViewId="0"/>
  </sheetViews>
  <sheetFormatPr defaultColWidth="0" defaultRowHeight="13.8" zeroHeight="1" x14ac:dyDescent="0.3"/>
  <cols>
    <col min="1" max="1" width="2.6640625" style="97" customWidth="1"/>
    <col min="2" max="2" width="35.6640625" style="97" customWidth="1"/>
    <col min="3" max="5" width="11.6640625" style="98" customWidth="1"/>
    <col min="6" max="6" width="11.6640625" style="97" customWidth="1"/>
    <col min="7" max="7" width="8.6640625" style="97" customWidth="1"/>
    <col min="8" max="16384" width="8.6640625" style="97" hidden="1"/>
  </cols>
  <sheetData>
    <row r="1" spans="2:6" x14ac:dyDescent="0.3"/>
    <row r="2" spans="2:6" ht="18" x14ac:dyDescent="0.3">
      <c r="B2" s="59" t="s">
        <v>81</v>
      </c>
    </row>
    <row r="3" spans="2:6" x14ac:dyDescent="0.3"/>
    <row r="4" spans="2:6" ht="14.4" x14ac:dyDescent="0.3">
      <c r="B4" s="99"/>
      <c r="C4" s="248" t="s">
        <v>82</v>
      </c>
      <c r="D4" s="249"/>
      <c r="E4" s="250"/>
      <c r="F4" s="100"/>
    </row>
    <row r="5" spans="2:6" ht="14.4" x14ac:dyDescent="0.3">
      <c r="B5" s="60" t="s">
        <v>83</v>
      </c>
      <c r="C5" s="60" t="s">
        <v>84</v>
      </c>
      <c r="D5" s="60" t="s">
        <v>85</v>
      </c>
      <c r="E5" s="60" t="s">
        <v>86</v>
      </c>
      <c r="F5" s="101" t="s">
        <v>87</v>
      </c>
    </row>
    <row r="6" spans="2:6" x14ac:dyDescent="0.3">
      <c r="B6" s="102" t="s">
        <v>88</v>
      </c>
      <c r="C6" s="155">
        <f>SUMIF('Building Breakdown'!$D$25:$D$221,C5,'Building Breakdown'!$F$25:$F$221)</f>
        <v>0</v>
      </c>
      <c r="D6" s="155">
        <f>SUMIF('Building Breakdown'!$D$25:$D$221,D5,'Building Breakdown'!$F$25:$F$221)</f>
        <v>0</v>
      </c>
      <c r="E6" s="155">
        <f>SUMIF('Building Breakdown'!$D$25:$D$221,E5,'Building Breakdown'!$F$25:$F$221)</f>
        <v>0</v>
      </c>
      <c r="F6" s="156">
        <f>SUM(C6:E6)</f>
        <v>0</v>
      </c>
    </row>
    <row r="7" spans="2:6" ht="24" x14ac:dyDescent="0.3">
      <c r="B7" s="103" t="s">
        <v>89</v>
      </c>
      <c r="C7" s="157">
        <f>IF(C8=0,0,'Techno-Economic Assumptions'!$D$27)</f>
        <v>0</v>
      </c>
      <c r="D7" s="157">
        <f>IF(D8=0,0,'Techno-Economic Assumptions'!$D$27)</f>
        <v>0</v>
      </c>
      <c r="E7" s="157">
        <f>IF(E8=0,0,'Techno-Economic Assumptions'!$D$27)</f>
        <v>0</v>
      </c>
      <c r="F7" s="158">
        <f>SUM(C7:E7)</f>
        <v>0</v>
      </c>
    </row>
    <row r="8" spans="2:6" ht="24" x14ac:dyDescent="0.3">
      <c r="B8" s="104" t="s">
        <v>90</v>
      </c>
      <c r="C8" s="159">
        <f>SUMIF('Building Breakdown'!$D$25:$D$221,'Option 1 Cost &amp; Savings'!C$5,'Building Breakdown'!$X$25:$X$221)</f>
        <v>0</v>
      </c>
      <c r="D8" s="160">
        <f>SUMIF('Building Breakdown'!$D$25:$D$221,'Option 1 Cost &amp; Savings'!D$5,'Building Breakdown'!$X$25:$X$221)</f>
        <v>0</v>
      </c>
      <c r="E8" s="159">
        <f>SUMIF('Building Breakdown'!$D$25:$D$221,'Option 1 Cost &amp; Savings'!E$5,'Building Breakdown'!$X$25:$X$221)</f>
        <v>0</v>
      </c>
      <c r="F8" s="161">
        <f t="shared" ref="F8:F20" si="0">SUM(C8:E8)</f>
        <v>0</v>
      </c>
    </row>
    <row r="9" spans="2:6" x14ac:dyDescent="0.3">
      <c r="B9" s="105" t="s">
        <v>91</v>
      </c>
      <c r="C9" s="162">
        <f>C7+C8</f>
        <v>0</v>
      </c>
      <c r="D9" s="162">
        <f>D7+D8</f>
        <v>0</v>
      </c>
      <c r="E9" s="162">
        <f>E7+E8</f>
        <v>0</v>
      </c>
      <c r="F9" s="163">
        <f t="shared" si="0"/>
        <v>0</v>
      </c>
    </row>
    <row r="10" spans="2:6" x14ac:dyDescent="0.3">
      <c r="B10" s="106" t="s">
        <v>92</v>
      </c>
      <c r="C10" s="160">
        <f>C$9*'Techno-Economic Assumptions'!$D$41</f>
        <v>0</v>
      </c>
      <c r="D10" s="160">
        <f>D$9*'Techno-Economic Assumptions'!$D$41</f>
        <v>0</v>
      </c>
      <c r="E10" s="160">
        <f>E$9*'Techno-Economic Assumptions'!$D$41</f>
        <v>0</v>
      </c>
      <c r="F10" s="161">
        <f t="shared" si="0"/>
        <v>0</v>
      </c>
    </row>
    <row r="11" spans="2:6" x14ac:dyDescent="0.3">
      <c r="B11" s="105" t="s">
        <v>91</v>
      </c>
      <c r="C11" s="162">
        <f>C10+C9</f>
        <v>0</v>
      </c>
      <c r="D11" s="162">
        <f t="shared" ref="D11:E11" si="1">D10+D9</f>
        <v>0</v>
      </c>
      <c r="E11" s="162">
        <f t="shared" si="1"/>
        <v>0</v>
      </c>
      <c r="F11" s="163">
        <f t="shared" si="0"/>
        <v>0</v>
      </c>
    </row>
    <row r="12" spans="2:6" x14ac:dyDescent="0.3">
      <c r="B12" s="106" t="s">
        <v>93</v>
      </c>
      <c r="C12" s="157">
        <f>C11*'Techno-Economic Assumptions'!$D$44</f>
        <v>0</v>
      </c>
      <c r="D12" s="157">
        <f>D11*'Techno-Economic Assumptions'!$D$44</f>
        <v>0</v>
      </c>
      <c r="E12" s="157">
        <f>E11*'Techno-Economic Assumptions'!$D$44</f>
        <v>0</v>
      </c>
      <c r="F12" s="158">
        <f t="shared" si="0"/>
        <v>0</v>
      </c>
    </row>
    <row r="13" spans="2:6" x14ac:dyDescent="0.3">
      <c r="B13" s="105" t="s">
        <v>91</v>
      </c>
      <c r="C13" s="162">
        <f>C12+C11</f>
        <v>0</v>
      </c>
      <c r="D13" s="162">
        <f t="shared" ref="D13:E13" si="2">D12+D11</f>
        <v>0</v>
      </c>
      <c r="E13" s="162">
        <f t="shared" si="2"/>
        <v>0</v>
      </c>
      <c r="F13" s="163">
        <f t="shared" si="0"/>
        <v>0</v>
      </c>
    </row>
    <row r="14" spans="2:6" x14ac:dyDescent="0.3">
      <c r="B14" s="106" t="s">
        <v>94</v>
      </c>
      <c r="C14" s="157">
        <f>C13*'Techno-Economic Assumptions'!$D$45</f>
        <v>0</v>
      </c>
      <c r="D14" s="157">
        <f>D13*'Techno-Economic Assumptions'!$D$45</f>
        <v>0</v>
      </c>
      <c r="E14" s="157">
        <f>E13*'Techno-Economic Assumptions'!$D$45</f>
        <v>0</v>
      </c>
      <c r="F14" s="158">
        <f t="shared" si="0"/>
        <v>0</v>
      </c>
    </row>
    <row r="15" spans="2:6" x14ac:dyDescent="0.3">
      <c r="B15" s="105" t="s">
        <v>91</v>
      </c>
      <c r="C15" s="162">
        <f>C14+C13</f>
        <v>0</v>
      </c>
      <c r="D15" s="162">
        <f t="shared" ref="D15:E15" si="3">D14+D13</f>
        <v>0</v>
      </c>
      <c r="E15" s="162">
        <f t="shared" si="3"/>
        <v>0</v>
      </c>
      <c r="F15" s="163">
        <f t="shared" si="0"/>
        <v>0</v>
      </c>
    </row>
    <row r="16" spans="2:6" x14ac:dyDescent="0.3">
      <c r="B16" s="107" t="s">
        <v>95</v>
      </c>
      <c r="C16" s="157">
        <f>IF('Building Breakdown'!$D$6="Yes",SUMIFS('Building Breakdown'!$P$25:$P$221,'Building Breakdown'!$D$25:$D$221,'Option 1 Cost &amp; Savings'!C$5)*'Techno-Economic Assumptions'!$D$46*'Techno-Economic Assumptions'!$D$47,0)</f>
        <v>0</v>
      </c>
      <c r="D16" s="157">
        <f>IF('Building Breakdown'!$D$6="Yes",SUMIFS('Building Breakdown'!$P$25:$P$221,'Building Breakdown'!$D$25:$D$221,'Option 1 Cost &amp; Savings'!D$5)*'Techno-Economic Assumptions'!$D$46*'Techno-Economic Assumptions'!$D$47,0)</f>
        <v>0</v>
      </c>
      <c r="E16" s="157">
        <f>IF('Building Breakdown'!$D$6="Yes",SUMIFS('Building Breakdown'!$P$25:$P$221,'Building Breakdown'!$D$25:$D$221,'Option 1 Cost &amp; Savings'!E$5)*'Techno-Economic Assumptions'!$D$46*'Techno-Economic Assumptions'!$D$47,0)</f>
        <v>0</v>
      </c>
      <c r="F16" s="158">
        <f t="shared" si="0"/>
        <v>0</v>
      </c>
    </row>
    <row r="17" spans="2:7" x14ac:dyDescent="0.3">
      <c r="B17" s="104" t="s">
        <v>96</v>
      </c>
      <c r="C17" s="159">
        <f>IF('Building Breakdown'!$D$6="Yes",SUMIFS('Building Breakdown'!$P$25:$P$221,'Building Breakdown'!$D$25:$D$221,'Option 1 Cost &amp; Savings'!C$5)*'Techno-Economic Assumptions'!$D$46*'Techno-Economic Assumptions'!$D$48,0)</f>
        <v>0</v>
      </c>
      <c r="D17" s="159">
        <f>IF('Building Breakdown'!$D$6="Yes",SUMIFS('Building Breakdown'!$P$25:$P$221,'Building Breakdown'!$D$25:$D$221,'Option 1 Cost &amp; Savings'!D$5)*'Techno-Economic Assumptions'!$D$46*'Techno-Economic Assumptions'!$D$48,0)</f>
        <v>0</v>
      </c>
      <c r="E17" s="159">
        <f>IF('Building Breakdown'!$D$6="Yes",SUMIFS('Building Breakdown'!$P$25:$P$221,'Building Breakdown'!$D$25:$D$221,'Option 1 Cost &amp; Savings'!E$5)*'Techno-Economic Assumptions'!$D$46*'Techno-Economic Assumptions'!$D$48,0)</f>
        <v>0</v>
      </c>
      <c r="F17" s="161">
        <f t="shared" si="0"/>
        <v>0</v>
      </c>
    </row>
    <row r="18" spans="2:7" x14ac:dyDescent="0.3">
      <c r="B18" s="105" t="s">
        <v>97</v>
      </c>
      <c r="C18" s="162">
        <f>SUM(C15:C17)</f>
        <v>0</v>
      </c>
      <c r="D18" s="162">
        <f>SUM(D15:D17)</f>
        <v>0</v>
      </c>
      <c r="E18" s="162">
        <f>SUM(E15:E17)</f>
        <v>0</v>
      </c>
      <c r="F18" s="163">
        <f t="shared" si="0"/>
        <v>0</v>
      </c>
    </row>
    <row r="19" spans="2:7" x14ac:dyDescent="0.3">
      <c r="B19" s="106" t="s">
        <v>98</v>
      </c>
      <c r="C19" s="166">
        <f>C18*'Techno-Economic Assumptions'!$D$51</f>
        <v>0</v>
      </c>
      <c r="D19" s="166">
        <f>D18*'Techno-Economic Assumptions'!$D$51</f>
        <v>0</v>
      </c>
      <c r="E19" s="166">
        <f>E18*'Techno-Economic Assumptions'!$D$51</f>
        <v>0</v>
      </c>
      <c r="F19" s="161">
        <f t="shared" si="0"/>
        <v>0</v>
      </c>
    </row>
    <row r="20" spans="2:7" x14ac:dyDescent="0.3">
      <c r="B20" s="108" t="s">
        <v>99</v>
      </c>
      <c r="C20" s="164">
        <f>C18+C19</f>
        <v>0</v>
      </c>
      <c r="D20" s="164">
        <f t="shared" ref="D20:E20" si="4">D18+D19</f>
        <v>0</v>
      </c>
      <c r="E20" s="164">
        <f t="shared" si="4"/>
        <v>0</v>
      </c>
      <c r="F20" s="165">
        <f t="shared" si="0"/>
        <v>0</v>
      </c>
    </row>
    <row r="21" spans="2:7" x14ac:dyDescent="0.3"/>
    <row r="22" spans="2:7" x14ac:dyDescent="0.3">
      <c r="B22" s="109" t="s">
        <v>100</v>
      </c>
      <c r="C22" s="155">
        <f>SUMIFS('Building Breakdown'!$Z$25:$Z$121,'Building Breakdown'!$D$25:$D$121,'Option 1 Cost &amp; Savings'!C$5,'Building Breakdown'!$E$25:$E$121,'Option 1 Cost &amp; Savings'!$G22)</f>
        <v>0</v>
      </c>
      <c r="D22" s="155">
        <f>SUMIFS('Building Breakdown'!$Z$25:$Z$121,'Building Breakdown'!$D$25:$D$121,'Option 1 Cost &amp; Savings'!D$5,'Building Breakdown'!$E$25:$E$121,'Option 1 Cost &amp; Savings'!$G22)</f>
        <v>0</v>
      </c>
      <c r="E22" s="155">
        <f>SUMIFS('Building Breakdown'!$Z$25:$Z$121,'Building Breakdown'!$D$25:$D$121,'Option 1 Cost &amp; Savings'!E$5,'Building Breakdown'!$E$25:$E$121,'Option 1 Cost &amp; Savings'!$G22)</f>
        <v>0</v>
      </c>
      <c r="F22" s="156">
        <f>SUM(C22:E22)</f>
        <v>0</v>
      </c>
      <c r="G22" s="205" t="s">
        <v>101</v>
      </c>
    </row>
    <row r="23" spans="2:7" x14ac:dyDescent="0.3">
      <c r="B23" s="195" t="s">
        <v>102</v>
      </c>
      <c r="C23" s="196">
        <f>SUMIFS('Building Breakdown'!$Z$25:$Z$121,'Building Breakdown'!$D$25:$D$121,'Option 1 Cost &amp; Savings'!C$5,'Building Breakdown'!$E$25:$E$121,'Option 1 Cost &amp; Savings'!$G23)</f>
        <v>0</v>
      </c>
      <c r="D23" s="196">
        <f>SUMIFS('Building Breakdown'!$Z$25:$Z$121,'Building Breakdown'!$D$25:$D$121,'Option 1 Cost &amp; Savings'!D$5,'Building Breakdown'!$E$25:$E$121,'Option 1 Cost &amp; Savings'!$G23)</f>
        <v>0</v>
      </c>
      <c r="E23" s="196">
        <f>SUMIFS('Building Breakdown'!$Z$25:$Z$121,'Building Breakdown'!$D$25:$D$121,'Option 1 Cost &amp; Savings'!E$5,'Building Breakdown'!$E$25:$E$121,'Option 1 Cost &amp; Savings'!$G23)</f>
        <v>0</v>
      </c>
      <c r="F23" s="197"/>
      <c r="G23" s="205" t="s">
        <v>103</v>
      </c>
    </row>
    <row r="24" spans="2:7" x14ac:dyDescent="0.3">
      <c r="B24" s="195" t="s">
        <v>104</v>
      </c>
      <c r="C24" s="196">
        <f>SUMIFS('Building Breakdown'!$Z$25:$Z$121,'Building Breakdown'!$D$25:$D$121,'Option 1 Cost &amp; Savings'!C$5,'Building Breakdown'!$E$25:$E$121,'Option 1 Cost &amp; Savings'!$G24)</f>
        <v>0</v>
      </c>
      <c r="D24" s="196">
        <f>SUMIFS('Building Breakdown'!$Z$25:$Z$121,'Building Breakdown'!$D$25:$D$121,'Option 1 Cost &amp; Savings'!D$5,'Building Breakdown'!$E$25:$E$121,'Option 1 Cost &amp; Savings'!$G24)</f>
        <v>0</v>
      </c>
      <c r="E24" s="196">
        <f>SUMIFS('Building Breakdown'!$Z$25:$Z$121,'Building Breakdown'!$D$25:$D$121,'Option 1 Cost &amp; Savings'!E$5,'Building Breakdown'!$E$25:$E$121,'Option 1 Cost &amp; Savings'!$G24)</f>
        <v>0</v>
      </c>
      <c r="F24" s="197"/>
      <c r="G24" s="205" t="s">
        <v>105</v>
      </c>
    </row>
    <row r="25" spans="2:7" x14ac:dyDescent="0.3">
      <c r="B25" s="106" t="s">
        <v>106</v>
      </c>
      <c r="C25" s="200">
        <f>SUMIF('Building Breakdown'!$D$25:$D$221,'Option 1 Cost &amp; Savings'!C$5,'Building Breakdown'!$AA$25:AA$221)</f>
        <v>0</v>
      </c>
      <c r="D25" s="200">
        <f>SUMIF('Building Breakdown'!$D$25:$D$221,'Option 1 Cost &amp; Savings'!D$5,'Building Breakdown'!$AA$25:AA$221)</f>
        <v>0</v>
      </c>
      <c r="E25" s="200">
        <f>SUMIF('Building Breakdown'!$D$25:$D$221,'Option 1 Cost &amp; Savings'!E$5,'Building Breakdown'!$AA$25:AA$221)</f>
        <v>0</v>
      </c>
      <c r="F25" s="201">
        <f>SUM(C25:E25)</f>
        <v>0</v>
      </c>
    </row>
    <row r="26" spans="2:7" x14ac:dyDescent="0.3">
      <c r="B26" s="195" t="s">
        <v>107</v>
      </c>
      <c r="C26" s="198">
        <f>C$22*'Building Breakdown'!$D11</f>
        <v>0</v>
      </c>
      <c r="D26" s="198">
        <f>D$22*'Building Breakdown'!$D11</f>
        <v>0</v>
      </c>
      <c r="E26" s="198">
        <f>E$22*'Building Breakdown'!$D11</f>
        <v>0</v>
      </c>
      <c r="F26" s="199">
        <f t="shared" ref="F26:F30" si="5">SUM(C26:E26)</f>
        <v>0</v>
      </c>
    </row>
    <row r="27" spans="2:7" x14ac:dyDescent="0.3">
      <c r="B27" s="110" t="s">
        <v>108</v>
      </c>
      <c r="C27" s="153">
        <f>C$23*'Building Breakdown'!$D12</f>
        <v>0</v>
      </c>
      <c r="D27" s="153">
        <f>D$23*'Building Breakdown'!$D12</f>
        <v>0</v>
      </c>
      <c r="E27" s="153">
        <f>E$23*'Building Breakdown'!$D12</f>
        <v>0</v>
      </c>
      <c r="F27" s="154">
        <f t="shared" si="5"/>
        <v>0</v>
      </c>
    </row>
    <row r="28" spans="2:7" x14ac:dyDescent="0.3">
      <c r="B28" s="110" t="s">
        <v>109</v>
      </c>
      <c r="C28" s="153">
        <f>C$24*'Building Breakdown'!$D13</f>
        <v>0</v>
      </c>
      <c r="D28" s="153">
        <f>D$24*'Building Breakdown'!$D13</f>
        <v>0</v>
      </c>
      <c r="E28" s="153">
        <f>E$24*'Building Breakdown'!$D13</f>
        <v>0</v>
      </c>
      <c r="F28" s="154">
        <f t="shared" si="5"/>
        <v>0</v>
      </c>
    </row>
    <row r="29" spans="2:7" x14ac:dyDescent="0.3">
      <c r="B29" s="110" t="s">
        <v>110</v>
      </c>
      <c r="C29" s="178">
        <f>C25*'Building Breakdown'!$D$14</f>
        <v>0</v>
      </c>
      <c r="D29" s="178">
        <f>D25*'Building Breakdown'!$D$14</f>
        <v>0</v>
      </c>
      <c r="E29" s="178">
        <f>E25*'Building Breakdown'!$D$14</f>
        <v>0</v>
      </c>
      <c r="F29" s="179">
        <f t="shared" si="5"/>
        <v>0</v>
      </c>
    </row>
    <row r="30" spans="2:7" x14ac:dyDescent="0.3">
      <c r="B30" s="106" t="s">
        <v>111</v>
      </c>
      <c r="C30" s="180">
        <f>'Option 2 Cost &amp; Savings'!C42</f>
        <v>0</v>
      </c>
      <c r="D30" s="180">
        <f>'Option 2 Cost &amp; Savings'!D42</f>
        <v>0</v>
      </c>
      <c r="E30" s="180">
        <f>'Option 2 Cost &amp; Savings'!E42</f>
        <v>0</v>
      </c>
      <c r="F30" s="181">
        <f t="shared" si="5"/>
        <v>0</v>
      </c>
    </row>
    <row r="31" spans="2:7" x14ac:dyDescent="0.3">
      <c r="B31" s="169" t="s">
        <v>112</v>
      </c>
      <c r="C31" s="170">
        <f>SUM(C26:C30)</f>
        <v>0</v>
      </c>
      <c r="D31" s="170">
        <f t="shared" ref="D31" si="6">SUM(D26:D30)</f>
        <v>0</v>
      </c>
      <c r="E31" s="170">
        <f>SUM(E26:E30)</f>
        <v>0</v>
      </c>
      <c r="F31" s="171">
        <f>SUM(C31:E31)</f>
        <v>0</v>
      </c>
    </row>
    <row r="32" spans="2:7" x14ac:dyDescent="0.3">
      <c r="B32" s="167" t="s">
        <v>113</v>
      </c>
      <c r="C32" s="168" t="str">
        <f>IFERROR(IF(C$20/C31&lt;0,"No payback",C$20/C31),"")</f>
        <v/>
      </c>
      <c r="D32" s="168" t="str">
        <f t="shared" ref="D32:F32" si="7">IFERROR(IF(D$20/D31&lt;0,"No payback",D$20/D31),"")</f>
        <v/>
      </c>
      <c r="E32" s="168" t="str">
        <f t="shared" si="7"/>
        <v/>
      </c>
      <c r="F32" s="168" t="str">
        <f t="shared" si="7"/>
        <v/>
      </c>
    </row>
    <row r="33" spans="2:6" x14ac:dyDescent="0.3">
      <c r="B33" s="111"/>
    </row>
    <row r="34" spans="2:6" ht="14.4" x14ac:dyDescent="0.3">
      <c r="B34" s="109" t="s">
        <v>114</v>
      </c>
      <c r="C34" s="207">
        <f>IF(C$22=0,0,C$22*VLOOKUP('Building Breakdown'!$E$11,'Emission factors'!$B$4:$D$8,3,FALSE))</f>
        <v>0</v>
      </c>
      <c r="D34" s="207">
        <f>IF(D$22=0,0,D$22*VLOOKUP('Building Breakdown'!$E$11,'Emission factors'!$B$4:$D$8,3,FALSE))</f>
        <v>0</v>
      </c>
      <c r="E34" s="207">
        <f>IF(E$22=0,0,E$22*VLOOKUP('Building Breakdown'!$E$11,'Emission factors'!$B$4:$D$8,3,FALSE))</f>
        <v>0</v>
      </c>
      <c r="F34" s="208">
        <f t="shared" ref="F34:F37" si="8">SUM(C34:E34)</f>
        <v>0</v>
      </c>
    </row>
    <row r="35" spans="2:6" ht="14.4" x14ac:dyDescent="0.3">
      <c r="B35" s="110" t="s">
        <v>115</v>
      </c>
      <c r="C35" s="206">
        <f>IF(C$23=0,0,C$23*VLOOKUP('Building Breakdown'!$E$12,'Emission factors'!$B$4:$D$8,3,FALSE))</f>
        <v>0</v>
      </c>
      <c r="D35" s="206">
        <f>IF(D$23=0,0,D$23*VLOOKUP('Building Breakdown'!$E$12,'Emission factors'!$B$4:$D$8,3,FALSE))</f>
        <v>0</v>
      </c>
      <c r="E35" s="206">
        <f>IF(E$23=0,0,E$23*VLOOKUP('Building Breakdown'!$E$12,'Emission factors'!$B$4:$D$8,3,FALSE))</f>
        <v>0</v>
      </c>
      <c r="F35" s="209">
        <f t="shared" si="8"/>
        <v>0</v>
      </c>
    </row>
    <row r="36" spans="2:6" ht="14.4" x14ac:dyDescent="0.3">
      <c r="B36" s="110" t="s">
        <v>116</v>
      </c>
      <c r="C36" s="206">
        <f>IF(C$24=0,0,C$24*VLOOKUP('Building Breakdown'!$E$13,'Emission factors'!$B$4:$D$8,3,FALSE))</f>
        <v>0</v>
      </c>
      <c r="D36" s="206">
        <f>IF(D$24=0,0,D$24*VLOOKUP('Building Breakdown'!$E$13,'Emission factors'!$B$4:$D$8,3,FALSE))</f>
        <v>0</v>
      </c>
      <c r="E36" s="206">
        <f>IF(E$24=0,0,E$24*VLOOKUP('Building Breakdown'!$E$13,'Emission factors'!$B$4:$D$8,3,FALSE))</f>
        <v>0</v>
      </c>
      <c r="F36" s="209">
        <f t="shared" si="8"/>
        <v>0</v>
      </c>
    </row>
    <row r="37" spans="2:6" ht="14.4" x14ac:dyDescent="0.3">
      <c r="B37" s="110" t="s">
        <v>117</v>
      </c>
      <c r="C37" s="206">
        <f>C25*'Emission factors'!$D$8</f>
        <v>0</v>
      </c>
      <c r="D37" s="206">
        <f>D25*'Emission factors'!$D$8</f>
        <v>0</v>
      </c>
      <c r="E37" s="206">
        <f>E25*'Emission factors'!$D$8</f>
        <v>0</v>
      </c>
      <c r="F37" s="209">
        <f t="shared" si="8"/>
        <v>0</v>
      </c>
    </row>
    <row r="38" spans="2:6" ht="26.4" x14ac:dyDescent="0.3">
      <c r="B38" s="194" t="s">
        <v>118</v>
      </c>
      <c r="C38" s="210">
        <f>SUM(C$34:C$37)</f>
        <v>0</v>
      </c>
      <c r="D38" s="210">
        <f t="shared" ref="D38:E38" si="9">SUM(D$34:D$37)</f>
        <v>0</v>
      </c>
      <c r="E38" s="210">
        <f t="shared" si="9"/>
        <v>0</v>
      </c>
      <c r="F38" s="211">
        <f>SUM(C38:E38)</f>
        <v>0</v>
      </c>
    </row>
    <row r="39" spans="2:6" x14ac:dyDescent="0.3">
      <c r="B39" s="111"/>
    </row>
    <row r="40" spans="2:6" x14ac:dyDescent="0.3">
      <c r="B40" s="111"/>
    </row>
    <row r="41" spans="2:6" x14ac:dyDescent="0.3">
      <c r="B41" s="111"/>
    </row>
    <row r="42" spans="2:6" hidden="1" x14ac:dyDescent="0.3">
      <c r="B42" s="111"/>
    </row>
    <row r="43" spans="2:6" hidden="1" x14ac:dyDescent="0.3">
      <c r="B43" s="111"/>
    </row>
    <row r="44" spans="2:6" hidden="1" x14ac:dyDescent="0.3">
      <c r="B44" s="111"/>
    </row>
    <row r="45" spans="2:6" hidden="1" x14ac:dyDescent="0.3">
      <c r="B45" s="111"/>
    </row>
    <row r="46" spans="2:6" hidden="1" x14ac:dyDescent="0.3">
      <c r="B46" s="111"/>
    </row>
    <row r="47" spans="2:6" hidden="1" x14ac:dyDescent="0.3">
      <c r="B47" s="111"/>
    </row>
    <row r="48" spans="2:6" hidden="1" x14ac:dyDescent="0.3">
      <c r="B48" s="111"/>
    </row>
    <row r="49" spans="2:2" hidden="1" x14ac:dyDescent="0.3">
      <c r="B49" s="111"/>
    </row>
    <row r="50" spans="2:2" hidden="1" x14ac:dyDescent="0.3">
      <c r="B50" s="111"/>
    </row>
  </sheetData>
  <sheetProtection algorithmName="SHA-512" hashValue="CfvNdORbrKTFImo5/e/Fx1p+tWYyShFr+A34HD+nFHTpcFAiQjTRkVpBnbh1Hwe+92BTrEwIl+vC2Vv8105+9g==" saltValue="sKdpuWZaIdDzrx+9iZcvkg==" spinCount="100000" sheet="1" objects="1" scenarios="1"/>
  <mergeCells count="1">
    <mergeCell ref="C4:E4"/>
  </mergeCells>
  <phoneticPr fontId="4" type="noConversion"/>
  <pageMargins left="0.7" right="0.7" top="0.75" bottom="0.75" header="0.3" footer="0.3"/>
  <pageSetup paperSize="9" orientation="portrait" r:id="rId1"/>
  <headerFooter>
    <oddFooter>&amp;L&amp;1#&amp;"Calibri"&amp;10&amp;K000000 -------------------------------------------------------- This document is marked as confidential</oddFooter>
  </headerFooter>
  <ignoredErrors>
    <ignoredError xmlns:x16r3="http://schemas.microsoft.com/office/spreadsheetml/2018/08/main" xmlns:x16r5="http://schemas.microsoft.com/office/spreadsheetml/2020/10/main" sqref="G10" evalError="1" twoDigitTextYear="1" numberStoredAsText="1" formula="1" formulaRange="1" unlockedFormula="1" emptyCellReference="1" listDataValidation="1" calculatedColumn="1" x16r3:misleadingFormat="1" x16r5:outdatedDataTypes="1"/>
    <ignoredError sqref="C12:E12 C14:E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C426-0548-46F8-BFC7-8F3E9A4CFFFE}">
  <sheetPr codeName="Sheet5">
    <pageSetUpPr autoPageBreaks="0"/>
  </sheetPr>
  <dimension ref="A1:L56"/>
  <sheetViews>
    <sheetView showGridLines="0" zoomScale="115" zoomScaleNormal="115" workbookViewId="0"/>
  </sheetViews>
  <sheetFormatPr defaultColWidth="0" defaultRowHeight="13.2" zeroHeight="1" x14ac:dyDescent="0.3"/>
  <cols>
    <col min="1" max="1" width="2.6640625" style="112" customWidth="1"/>
    <col min="2" max="2" width="36.44140625" style="112" customWidth="1"/>
    <col min="3" max="6" width="12.6640625" style="112" customWidth="1"/>
    <col min="7" max="7" width="8.6640625" style="112" customWidth="1"/>
    <col min="8" max="8" width="26.6640625" style="112" hidden="1" customWidth="1"/>
    <col min="9" max="12" width="0" style="112" hidden="1" customWidth="1"/>
    <col min="13" max="16384" width="8.6640625" style="112" hidden="1"/>
  </cols>
  <sheetData>
    <row r="1" spans="2:7" x14ac:dyDescent="0.3"/>
    <row r="2" spans="2:7" ht="18" x14ac:dyDescent="0.3">
      <c r="B2" s="59" t="s">
        <v>119</v>
      </c>
    </row>
    <row r="3" spans="2:7" x14ac:dyDescent="0.3"/>
    <row r="4" spans="2:7" ht="14.4" x14ac:dyDescent="0.3">
      <c r="B4" s="113"/>
      <c r="C4" s="248" t="s">
        <v>82</v>
      </c>
      <c r="D4" s="249"/>
      <c r="E4" s="250"/>
      <c r="F4" s="114"/>
      <c r="G4" s="115"/>
    </row>
    <row r="5" spans="2:7" ht="14.4" x14ac:dyDescent="0.3">
      <c r="B5" s="116" t="s">
        <v>120</v>
      </c>
      <c r="C5" s="116" t="s">
        <v>84</v>
      </c>
      <c r="D5" s="116" t="s">
        <v>85</v>
      </c>
      <c r="E5" s="116" t="s">
        <v>86</v>
      </c>
      <c r="F5" s="117" t="s">
        <v>87</v>
      </c>
      <c r="G5" s="115"/>
    </row>
    <row r="6" spans="2:7" ht="13.8" x14ac:dyDescent="0.3">
      <c r="B6" s="118" t="s">
        <v>88</v>
      </c>
      <c r="C6" s="119">
        <f>SUMIF('Building Breakdown'!$D$25:$D$221,C5,'Building Breakdown'!$F$25:$F$221)</f>
        <v>0</v>
      </c>
      <c r="D6" s="119">
        <f>SUMIF('Building Breakdown'!$D$25:$D$221,D5,'Building Breakdown'!$F$25:$F$221)</f>
        <v>0</v>
      </c>
      <c r="E6" s="119">
        <f>SUMIF('Building Breakdown'!$D$25:$D$221,E5,'Building Breakdown'!$F$25:$F$221)</f>
        <v>0</v>
      </c>
      <c r="F6" s="119">
        <f>SUM(C6,D6,E6)</f>
        <v>0</v>
      </c>
      <c r="G6" s="115"/>
    </row>
    <row r="7" spans="2:7" ht="13.8" x14ac:dyDescent="0.3">
      <c r="B7" s="120" t="s">
        <v>121</v>
      </c>
      <c r="C7" s="121">
        <f>COUNTIFS('Building Breakdown'!$H$25:$H$1048576,"Plant room (energy centre)",'Building Breakdown'!$D$25:$D$1048576,C$5)
+COUNTIFS('Building Breakdown'!$H$25:$H$1048576,"Plant room (main boilerhouse)",'Building Breakdown'!$D$25:$D$1048576,C$5)</f>
        <v>0</v>
      </c>
      <c r="D7" s="121">
        <f>COUNTIFS('Building Breakdown'!$H$25:$H$1048576,"Plant room (energy centre)",'Building Breakdown'!$D$25:$D$1048576,D$5)
+COUNTIFS('Building Breakdown'!$H$25:$H$1048576,"Plant room (main boilerhouse)",'Building Breakdown'!$D$25:$D$1048576,D$5)</f>
        <v>0</v>
      </c>
      <c r="E7" s="121">
        <f>COUNTIFS('Building Breakdown'!$H$25:$H$1048576,"Plant room (energy centre)",'Building Breakdown'!$D$25:$D$1048576,E$5)
+COUNTIFS('Building Breakdown'!$H$25:$H$1048576,"Plant room (main boilerhouse)",'Building Breakdown'!$D$25:$D$1048576,E$5)</f>
        <v>0</v>
      </c>
      <c r="F7" s="122">
        <f>SUM(C7:E7)</f>
        <v>0</v>
      </c>
      <c r="G7" s="115"/>
    </row>
    <row r="8" spans="2:7" ht="13.8" x14ac:dyDescent="0.3">
      <c r="B8" s="120" t="s">
        <v>122</v>
      </c>
      <c r="C8" s="54">
        <v>0</v>
      </c>
      <c r="D8" s="54">
        <v>0</v>
      </c>
      <c r="E8" s="54">
        <v>0</v>
      </c>
      <c r="F8" s="122">
        <f>SUM(C8:E8)</f>
        <v>0</v>
      </c>
      <c r="G8" s="115"/>
    </row>
    <row r="9" spans="2:7" ht="13.8" x14ac:dyDescent="0.3">
      <c r="B9" s="120" t="s">
        <v>123</v>
      </c>
      <c r="C9" s="55" t="s">
        <v>124</v>
      </c>
      <c r="D9" s="55" t="s">
        <v>124</v>
      </c>
      <c r="E9" s="55" t="s">
        <v>124</v>
      </c>
      <c r="F9" s="122"/>
      <c r="G9" s="115"/>
    </row>
    <row r="10" spans="2:7" ht="13.8" x14ac:dyDescent="0.3">
      <c r="B10" s="123" t="s">
        <v>125</v>
      </c>
      <c r="C10" s="56"/>
      <c r="D10" s="56"/>
      <c r="E10" s="56"/>
      <c r="F10" s="124">
        <f>SUM(C10:E10)</f>
        <v>0</v>
      </c>
      <c r="G10" s="115"/>
    </row>
    <row r="11" spans="2:7" ht="13.8" x14ac:dyDescent="0.3">
      <c r="B11" s="125" t="s">
        <v>126</v>
      </c>
      <c r="C11" s="126"/>
      <c r="D11" s="126"/>
      <c r="E11" s="126"/>
      <c r="F11" s="127"/>
      <c r="G11" s="115"/>
    </row>
    <row r="12" spans="2:7" ht="22.5" customHeight="1" x14ac:dyDescent="0.3">
      <c r="B12" s="128" t="s">
        <v>127</v>
      </c>
      <c r="C12" s="172">
        <f>(C$7+C$8)*'Techno-Economic Assumptions'!$D$54</f>
        <v>0</v>
      </c>
      <c r="D12" s="172">
        <f>(D$7+D$8)*'Techno-Economic Assumptions'!$D$54</f>
        <v>0</v>
      </c>
      <c r="E12" s="172">
        <f>(E$7+E$8)*'Techno-Economic Assumptions'!$D$54</f>
        <v>0</v>
      </c>
      <c r="F12" s="172">
        <f t="shared" ref="F12:F29" si="0">SUM(C12,D12,E12)</f>
        <v>0</v>
      </c>
      <c r="G12" s="129"/>
    </row>
    <row r="13" spans="2:7" ht="13.8" x14ac:dyDescent="0.3">
      <c r="B13" s="107" t="s">
        <v>128</v>
      </c>
      <c r="C13" s="173">
        <f>(C$7+C$8)*'Techno-Economic Assumptions'!$D$55</f>
        <v>0</v>
      </c>
      <c r="D13" s="173">
        <f>(D$7+D$8)*'Techno-Economic Assumptions'!$D$55</f>
        <v>0</v>
      </c>
      <c r="E13" s="173">
        <f>(E$7+E$8)*'Techno-Economic Assumptions'!$D$55</f>
        <v>0</v>
      </c>
      <c r="F13" s="173">
        <f t="shared" si="0"/>
        <v>0</v>
      </c>
      <c r="G13" s="115"/>
    </row>
    <row r="14" spans="2:7" ht="13.8" x14ac:dyDescent="0.3">
      <c r="B14" s="104" t="s">
        <v>129</v>
      </c>
      <c r="C14" s="174">
        <f>IF(C9="Y",'Techno-Economic Assumptions'!$D$59,0)</f>
        <v>0</v>
      </c>
      <c r="D14" s="174">
        <f>IF(D9="Y",'Techno-Economic Assumptions'!$D$59,0)</f>
        <v>0</v>
      </c>
      <c r="E14" s="174">
        <f>IF(E9="Y",'Techno-Economic Assumptions'!$D$59,0)</f>
        <v>0</v>
      </c>
      <c r="F14" s="174">
        <f t="shared" si="0"/>
        <v>0</v>
      </c>
      <c r="G14" s="115"/>
    </row>
    <row r="15" spans="2:7" ht="13.8" x14ac:dyDescent="0.3">
      <c r="B15" s="130" t="s">
        <v>91</v>
      </c>
      <c r="C15" s="175">
        <f>SUM(C12:C14)</f>
        <v>0</v>
      </c>
      <c r="D15" s="175">
        <f>SUM(D12:D14)</f>
        <v>0</v>
      </c>
      <c r="E15" s="175">
        <f>SUM(E12:E14)</f>
        <v>0</v>
      </c>
      <c r="F15" s="175">
        <f t="shared" si="0"/>
        <v>0</v>
      </c>
      <c r="G15" s="115"/>
    </row>
    <row r="16" spans="2:7" ht="13.8" x14ac:dyDescent="0.3">
      <c r="B16" s="104" t="s">
        <v>92</v>
      </c>
      <c r="C16" s="176">
        <f>C15*'Techno-Economic Assumptions'!$D$41</f>
        <v>0</v>
      </c>
      <c r="D16" s="176">
        <f>D15*'Techno-Economic Assumptions'!$D$41</f>
        <v>0</v>
      </c>
      <c r="E16" s="176">
        <f>E15*'Techno-Economic Assumptions'!$D$41</f>
        <v>0</v>
      </c>
      <c r="F16" s="174">
        <f t="shared" si="0"/>
        <v>0</v>
      </c>
      <c r="G16" s="115"/>
    </row>
    <row r="17" spans="2:11" ht="13.8" x14ac:dyDescent="0.3">
      <c r="B17" s="130" t="s">
        <v>91</v>
      </c>
      <c r="C17" s="175">
        <f>SUM(C15:C16)</f>
        <v>0</v>
      </c>
      <c r="D17" s="175">
        <f>SUM(D15:D16)</f>
        <v>0</v>
      </c>
      <c r="E17" s="175">
        <f>SUM(E15:E16)</f>
        <v>0</v>
      </c>
      <c r="F17" s="175">
        <f t="shared" si="0"/>
        <v>0</v>
      </c>
      <c r="G17" s="115"/>
    </row>
    <row r="18" spans="2:11" ht="13.8" x14ac:dyDescent="0.3">
      <c r="B18" s="104" t="s">
        <v>130</v>
      </c>
      <c r="C18" s="176">
        <f>C17*'Techno-Economic Assumptions'!$D$42</f>
        <v>0</v>
      </c>
      <c r="D18" s="176">
        <f>D17*'Techno-Economic Assumptions'!$D$42</f>
        <v>0</v>
      </c>
      <c r="E18" s="176">
        <f>E17*'Techno-Economic Assumptions'!$D$42</f>
        <v>0</v>
      </c>
      <c r="F18" s="174">
        <f t="shared" si="0"/>
        <v>0</v>
      </c>
      <c r="G18" s="115"/>
      <c r="H18" s="131"/>
      <c r="I18" s="132"/>
      <c r="J18" s="132"/>
      <c r="K18" s="132"/>
    </row>
    <row r="19" spans="2:11" ht="13.8" x14ac:dyDescent="0.3">
      <c r="B19" s="130" t="s">
        <v>91</v>
      </c>
      <c r="C19" s="175">
        <f>SUM(C17:C18)</f>
        <v>0</v>
      </c>
      <c r="D19" s="175">
        <f>SUM(D17:D18)</f>
        <v>0</v>
      </c>
      <c r="E19" s="175">
        <f>SUM(E17:E18)</f>
        <v>0</v>
      </c>
      <c r="F19" s="175">
        <f t="shared" si="0"/>
        <v>0</v>
      </c>
      <c r="G19" s="115"/>
    </row>
    <row r="20" spans="2:11" ht="13.8" x14ac:dyDescent="0.3">
      <c r="B20" s="104" t="s">
        <v>131</v>
      </c>
      <c r="C20" s="176">
        <f>C19*'Techno-Economic Assumptions'!$D$43</f>
        <v>0</v>
      </c>
      <c r="D20" s="176">
        <f>D19*'Techno-Economic Assumptions'!$D$43</f>
        <v>0</v>
      </c>
      <c r="E20" s="176">
        <f>E19*'Techno-Economic Assumptions'!$D$43</f>
        <v>0</v>
      </c>
      <c r="F20" s="174">
        <f t="shared" si="0"/>
        <v>0</v>
      </c>
      <c r="G20" s="115"/>
    </row>
    <row r="21" spans="2:11" ht="13.8" x14ac:dyDescent="0.3">
      <c r="B21" s="130" t="s">
        <v>91</v>
      </c>
      <c r="C21" s="175">
        <f>SUM(C19:C20)</f>
        <v>0</v>
      </c>
      <c r="D21" s="175">
        <f>SUM(D19:D20)</f>
        <v>0</v>
      </c>
      <c r="E21" s="175">
        <f>SUM(E19:E20)</f>
        <v>0</v>
      </c>
      <c r="F21" s="175">
        <f t="shared" si="0"/>
        <v>0</v>
      </c>
      <c r="G21" s="115"/>
    </row>
    <row r="22" spans="2:11" ht="13.8" x14ac:dyDescent="0.3">
      <c r="B22" s="104" t="s">
        <v>132</v>
      </c>
      <c r="C22" s="176">
        <f>C21*'Techno-Economic Assumptions'!$D$44</f>
        <v>0</v>
      </c>
      <c r="D22" s="176">
        <f>D21*'Techno-Economic Assumptions'!$D$44</f>
        <v>0</v>
      </c>
      <c r="E22" s="176">
        <f>E21*'Techno-Economic Assumptions'!$D$44</f>
        <v>0</v>
      </c>
      <c r="F22" s="174">
        <f t="shared" si="0"/>
        <v>0</v>
      </c>
      <c r="G22" s="115"/>
    </row>
    <row r="23" spans="2:11" ht="13.8" x14ac:dyDescent="0.3">
      <c r="B23" s="130" t="s">
        <v>91</v>
      </c>
      <c r="C23" s="175">
        <f>SUM(C21:C22)</f>
        <v>0</v>
      </c>
      <c r="D23" s="175">
        <f>SUM(D21:D22)</f>
        <v>0</v>
      </c>
      <c r="E23" s="175">
        <f>SUM(E21:E22)</f>
        <v>0</v>
      </c>
      <c r="F23" s="175">
        <f t="shared" si="0"/>
        <v>0</v>
      </c>
      <c r="G23" s="115"/>
    </row>
    <row r="24" spans="2:11" ht="13.8" x14ac:dyDescent="0.3">
      <c r="B24" s="104" t="s">
        <v>94</v>
      </c>
      <c r="C24" s="176">
        <f>C23*'Techno-Economic Assumptions'!$D$45</f>
        <v>0</v>
      </c>
      <c r="D24" s="176">
        <f>D23*'Techno-Economic Assumptions'!$D$45</f>
        <v>0</v>
      </c>
      <c r="E24" s="176">
        <f>E23*'Techno-Economic Assumptions'!$D$45</f>
        <v>0</v>
      </c>
      <c r="F24" s="174">
        <f t="shared" si="0"/>
        <v>0</v>
      </c>
      <c r="G24" s="115"/>
    </row>
    <row r="25" spans="2:11" ht="13.8" x14ac:dyDescent="0.3">
      <c r="B25" s="130" t="s">
        <v>91</v>
      </c>
      <c r="C25" s="175">
        <f>SUM(C23:C24)</f>
        <v>0</v>
      </c>
      <c r="D25" s="175">
        <f>SUM(D23:D24)</f>
        <v>0</v>
      </c>
      <c r="E25" s="175">
        <f>SUM(E23:E24)</f>
        <v>0</v>
      </c>
      <c r="F25" s="175">
        <f t="shared" si="0"/>
        <v>0</v>
      </c>
      <c r="G25" s="115"/>
    </row>
    <row r="26" spans="2:11" ht="13.8" x14ac:dyDescent="0.3">
      <c r="B26" s="104" t="s">
        <v>133</v>
      </c>
      <c r="C26" s="176">
        <f>IF('Building Breakdown'!D6="Yes",'Techno-Economic Assumptions'!$D$49*'Techno-Economic Assumptions'!$D$46*C10,0)</f>
        <v>0</v>
      </c>
      <c r="D26" s="176">
        <f>IF('Building Breakdown'!D6="Yes",'Techno-Economic Assumptions'!$D$49*'Techno-Economic Assumptions'!$D$46*D10,0)</f>
        <v>0</v>
      </c>
      <c r="E26" s="176">
        <f>IF('Building Breakdown'!D6="Yes",'Techno-Economic Assumptions'!$D$49*'Techno-Economic Assumptions'!$D$46*E10,0)</f>
        <v>0</v>
      </c>
      <c r="F26" s="174">
        <f t="shared" si="0"/>
        <v>0</v>
      </c>
      <c r="G26" s="115"/>
    </row>
    <row r="27" spans="2:11" ht="13.8" x14ac:dyDescent="0.3">
      <c r="B27" s="130" t="s">
        <v>97</v>
      </c>
      <c r="C27" s="175">
        <f>SUM(C25:C26)</f>
        <v>0</v>
      </c>
      <c r="D27" s="175">
        <f>SUM(D25:D26)</f>
        <v>0</v>
      </c>
      <c r="E27" s="175">
        <f>SUM(E25:E26)</f>
        <v>0</v>
      </c>
      <c r="F27" s="175">
        <f t="shared" si="0"/>
        <v>0</v>
      </c>
      <c r="G27" s="115"/>
    </row>
    <row r="28" spans="2:11" ht="13.8" x14ac:dyDescent="0.3">
      <c r="B28" s="104" t="s">
        <v>134</v>
      </c>
      <c r="C28" s="176">
        <f>C27*'Techno-Economic Assumptions'!$D$51</f>
        <v>0</v>
      </c>
      <c r="D28" s="176">
        <f>D27*'Techno-Economic Assumptions'!$D$51</f>
        <v>0</v>
      </c>
      <c r="E28" s="176">
        <f>E27*'Techno-Economic Assumptions'!$D$51</f>
        <v>0</v>
      </c>
      <c r="F28" s="174">
        <f t="shared" si="0"/>
        <v>0</v>
      </c>
      <c r="G28" s="115"/>
    </row>
    <row r="29" spans="2:11" ht="13.8" x14ac:dyDescent="0.3">
      <c r="B29" s="108" t="s">
        <v>135</v>
      </c>
      <c r="C29" s="177">
        <f>SUM(C27:C28)</f>
        <v>0</v>
      </c>
      <c r="D29" s="177">
        <f>SUM(D27:D28)</f>
        <v>0</v>
      </c>
      <c r="E29" s="177">
        <f>SUM(E27:E28)</f>
        <v>0</v>
      </c>
      <c r="F29" s="177">
        <f t="shared" si="0"/>
        <v>0</v>
      </c>
      <c r="G29" s="115"/>
    </row>
    <row r="30" spans="2:11" ht="4.2" customHeight="1" x14ac:dyDescent="0.3">
      <c r="G30" s="115"/>
    </row>
    <row r="31" spans="2:11" ht="13.8" x14ac:dyDescent="0.3">
      <c r="B31" s="108" t="s">
        <v>136</v>
      </c>
      <c r="C31" s="177">
        <f>C27+'Option 1 Cost &amp; Savings'!C18</f>
        <v>0</v>
      </c>
      <c r="D31" s="177">
        <f>D27+'Option 1 Cost &amp; Savings'!D18</f>
        <v>0</v>
      </c>
      <c r="E31" s="177">
        <f>E27+'Option 1 Cost &amp; Savings'!E18</f>
        <v>0</v>
      </c>
      <c r="F31" s="177">
        <f>F27+'Option 1 Cost &amp; Savings'!F18</f>
        <v>0</v>
      </c>
      <c r="G31" s="115"/>
    </row>
    <row r="32" spans="2:11" x14ac:dyDescent="0.3">
      <c r="B32" s="108" t="s">
        <v>137</v>
      </c>
      <c r="C32" s="177">
        <f>C29+'Option 1 Cost &amp; Savings'!C20</f>
        <v>0</v>
      </c>
      <c r="D32" s="177">
        <f>D29+'Option 1 Cost &amp; Savings'!D20</f>
        <v>0</v>
      </c>
      <c r="E32" s="177">
        <f>E29+'Option 1 Cost &amp; Savings'!E20</f>
        <v>0</v>
      </c>
      <c r="F32" s="177">
        <f>F29+'Option 1 Cost &amp; Savings'!F20</f>
        <v>0</v>
      </c>
    </row>
    <row r="33" spans="2:8" ht="13.8" x14ac:dyDescent="0.3">
      <c r="C33" s="133"/>
      <c r="D33" s="133"/>
      <c r="E33" s="133"/>
      <c r="F33" s="133"/>
      <c r="G33" s="115"/>
    </row>
    <row r="34" spans="2:8" ht="13.8" x14ac:dyDescent="0.3">
      <c r="B34" s="109" t="s">
        <v>100</v>
      </c>
      <c r="C34" s="155">
        <f>SUMIFS('Building Breakdown'!$AC$25:$AC$121,'Building Breakdown'!$D$25:$D$121,'Option 2 Cost &amp; Savings'!C$5,'Building Breakdown'!$E$25:$E$121,'Option 2 Cost &amp; Savings'!$G34)</f>
        <v>0</v>
      </c>
      <c r="D34" s="155">
        <f>SUMIFS('Building Breakdown'!$AC$25:$AC$121,'Building Breakdown'!$D$25:$D$121,'Option 2 Cost &amp; Savings'!D$5,'Building Breakdown'!$E$25:$E$121,'Option 2 Cost &amp; Savings'!$G34)</f>
        <v>0</v>
      </c>
      <c r="E34" s="155">
        <f>SUMIFS('Building Breakdown'!$AC$25:$AC$121,'Building Breakdown'!$D$25:$D$121,'Option 2 Cost &amp; Savings'!E$5,'Building Breakdown'!$E$25:$E$121,'Option 2 Cost &amp; Savings'!$G34)</f>
        <v>0</v>
      </c>
      <c r="F34" s="156">
        <f>SUM(C34:E34)</f>
        <v>0</v>
      </c>
      <c r="G34" s="205" t="s">
        <v>101</v>
      </c>
      <c r="H34" s="134"/>
    </row>
    <row r="35" spans="2:8" ht="13.8" x14ac:dyDescent="0.3">
      <c r="B35" s="195" t="s">
        <v>102</v>
      </c>
      <c r="C35" s="196">
        <f>SUMIFS('Building Breakdown'!$AC$25:$AC$121,'Building Breakdown'!$D$25:$D$121,'Option 2 Cost &amp; Savings'!C$5,'Building Breakdown'!$E$25:$E$121,'Option 2 Cost &amp; Savings'!$G35)</f>
        <v>0</v>
      </c>
      <c r="D35" s="196">
        <f>SUMIFS('Building Breakdown'!$AC$25:$AC$121,'Building Breakdown'!$D$25:$D$121,'Option 2 Cost &amp; Savings'!D$5,'Building Breakdown'!$E$25:$E$121,'Option 2 Cost &amp; Savings'!$G35)</f>
        <v>0</v>
      </c>
      <c r="E35" s="196">
        <f>SUMIFS('Building Breakdown'!$AC$25:$AC$121,'Building Breakdown'!$D$25:$D$121,'Option 2 Cost &amp; Savings'!E$5,'Building Breakdown'!$E$25:$E$121,'Option 2 Cost &amp; Savings'!$G35)</f>
        <v>0</v>
      </c>
      <c r="F35" s="197"/>
      <c r="G35" s="205" t="s">
        <v>103</v>
      </c>
      <c r="H35" s="134"/>
    </row>
    <row r="36" spans="2:8" ht="13.8" x14ac:dyDescent="0.3">
      <c r="B36" s="195" t="s">
        <v>104</v>
      </c>
      <c r="C36" s="196">
        <f>SUMIFS('Building Breakdown'!$AC$25:$AC$121,'Building Breakdown'!$D$25:$D$121,'Option 2 Cost &amp; Savings'!C$5,'Building Breakdown'!$E$25:$E$121,'Option 2 Cost &amp; Savings'!$G36)</f>
        <v>0</v>
      </c>
      <c r="D36" s="196">
        <f>SUMIFS('Building Breakdown'!$AC$25:$AC$121,'Building Breakdown'!$D$25:$D$121,'Option 2 Cost &amp; Savings'!D$5,'Building Breakdown'!$E$25:$E$121,'Option 2 Cost &amp; Savings'!$G36)</f>
        <v>0</v>
      </c>
      <c r="E36" s="196">
        <f>SUMIFS('Building Breakdown'!$AC$25:$AC$121,'Building Breakdown'!$D$25:$D$121,'Option 2 Cost &amp; Savings'!E$5,'Building Breakdown'!$E$25:$E$121,'Option 2 Cost &amp; Savings'!$G36)</f>
        <v>0</v>
      </c>
      <c r="F36" s="197"/>
      <c r="G36" s="205" t="s">
        <v>105</v>
      </c>
      <c r="H36" s="134"/>
    </row>
    <row r="37" spans="2:8" x14ac:dyDescent="0.3">
      <c r="B37" s="106" t="s">
        <v>106</v>
      </c>
      <c r="C37" s="200">
        <f>SUMIF('Building Breakdown'!$D$25:$D$221,'Option 2 Cost &amp; Savings'!C$5,'Building Breakdown'!$AD$25:$AD$221)</f>
        <v>0</v>
      </c>
      <c r="D37" s="200">
        <f>SUMIF('Building Breakdown'!$D$25:$D$221,'Option 2 Cost &amp; Savings'!D$5,'Building Breakdown'!$AD$25:$AD$221)</f>
        <v>0</v>
      </c>
      <c r="E37" s="200">
        <f>SUMIF('Building Breakdown'!$D$25:$D$221,'Option 2 Cost &amp; Savings'!E$5,'Building Breakdown'!$AD$25:$AD$221)</f>
        <v>0</v>
      </c>
      <c r="F37" s="201">
        <f>SUM(C37:E37)</f>
        <v>0</v>
      </c>
      <c r="H37" s="134"/>
    </row>
    <row r="38" spans="2:8" ht="13.8" x14ac:dyDescent="0.3">
      <c r="B38" s="195" t="s">
        <v>107</v>
      </c>
      <c r="C38" s="198">
        <f>C$34*'Building Breakdown'!$D11</f>
        <v>0</v>
      </c>
      <c r="D38" s="198">
        <f>D$34*'Building Breakdown'!$D11</f>
        <v>0</v>
      </c>
      <c r="E38" s="198">
        <f>E$34*'Building Breakdown'!$D11</f>
        <v>0</v>
      </c>
      <c r="F38" s="199">
        <f t="shared" ref="F38:F42" si="1">SUM(C38:E38)</f>
        <v>0</v>
      </c>
      <c r="G38" s="97"/>
    </row>
    <row r="39" spans="2:8" ht="13.8" x14ac:dyDescent="0.3">
      <c r="B39" s="110" t="s">
        <v>108</v>
      </c>
      <c r="C39" s="198">
        <f>C$35*'Building Breakdown'!$D12</f>
        <v>0</v>
      </c>
      <c r="D39" s="198">
        <f>D$35*'Building Breakdown'!$D12</f>
        <v>0</v>
      </c>
      <c r="E39" s="198">
        <f>E$35*'Building Breakdown'!$D12</f>
        <v>0</v>
      </c>
      <c r="F39" s="154">
        <f t="shared" si="1"/>
        <v>0</v>
      </c>
      <c r="G39" s="97"/>
    </row>
    <row r="40" spans="2:8" ht="13.8" x14ac:dyDescent="0.3">
      <c r="B40" s="110" t="s">
        <v>109</v>
      </c>
      <c r="C40" s="198">
        <f>C$36*'Building Breakdown'!$D13</f>
        <v>0</v>
      </c>
      <c r="D40" s="198">
        <f>D$36*'Building Breakdown'!$D13</f>
        <v>0</v>
      </c>
      <c r="E40" s="198">
        <f>E$36*'Building Breakdown'!$D13</f>
        <v>0</v>
      </c>
      <c r="F40" s="154">
        <f t="shared" si="1"/>
        <v>0</v>
      </c>
      <c r="G40" s="97"/>
    </row>
    <row r="41" spans="2:8" x14ac:dyDescent="0.3">
      <c r="B41" s="110" t="s">
        <v>110</v>
      </c>
      <c r="C41" s="178">
        <f>C37*'Building Breakdown'!$D$14</f>
        <v>0</v>
      </c>
      <c r="D41" s="178">
        <f>D37*'Building Breakdown'!$D$14</f>
        <v>0</v>
      </c>
      <c r="E41" s="178">
        <f>E37*'Building Breakdown'!$D$14</f>
        <v>0</v>
      </c>
      <c r="F41" s="179">
        <f t="shared" si="1"/>
        <v>0</v>
      </c>
    </row>
    <row r="42" spans="2:8" x14ac:dyDescent="0.3">
      <c r="B42" s="106" t="s">
        <v>111</v>
      </c>
      <c r="C42" s="180">
        <f>-IF(OR(C15=0,COUNTA('Building Breakdown'!B25:B121)=0),0,IF('Building Breakdown'!$D$15="",'Techno-Economic Assumptions'!$D$63,'Building Breakdown'!$D$15))</f>
        <v>0</v>
      </c>
      <c r="D42" s="180">
        <f>IF(C42&lt;0,0,-IF(D15=0,0,IF('Building Breakdown'!$D$15="",'Techno-Economic Assumptions'!$D$63,'Building Breakdown'!$D$15)))</f>
        <v>0</v>
      </c>
      <c r="E42" s="180" cm="1">
        <f t="array" ref="E42">_xlfn.IFS(C42&lt;0,0,D42&lt;0,0,D42=0,IF(E15=0,0,-IF('Building Breakdown'!$D$15="",'Techno-Economic Assumptions'!$D$63,'Building Breakdown'!$D$15)))</f>
        <v>0</v>
      </c>
      <c r="F42" s="181">
        <f t="shared" si="1"/>
        <v>0</v>
      </c>
    </row>
    <row r="43" spans="2:8" x14ac:dyDescent="0.3">
      <c r="B43" s="169" t="s">
        <v>112</v>
      </c>
      <c r="C43" s="203">
        <f>SUM(C38:C42)</f>
        <v>0</v>
      </c>
      <c r="D43" s="203">
        <f t="shared" ref="D43:E43" si="2">SUM(D38:D42)</f>
        <v>0</v>
      </c>
      <c r="E43" s="203">
        <f t="shared" si="2"/>
        <v>0</v>
      </c>
      <c r="F43" s="204">
        <f>SUM(C43:E43)</f>
        <v>0</v>
      </c>
    </row>
    <row r="44" spans="2:8" x14ac:dyDescent="0.3">
      <c r="B44" s="167" t="s">
        <v>113</v>
      </c>
      <c r="C44" s="202" t="str">
        <f>IFERROR(IF(C$32/C43&lt;0,"No payback",C$32/C43),"")</f>
        <v/>
      </c>
      <c r="D44" s="202" t="str">
        <f>IFERROR(IF(D$32/D43&lt;0,"No payback",D$32/D43),"")</f>
        <v/>
      </c>
      <c r="E44" s="202" t="str">
        <f>IFERROR(IF(E$32/E43&lt;0,"No payback",E$32/E43),"")</f>
        <v/>
      </c>
      <c r="F44" s="202" t="str">
        <f>IFERROR(IF(F$32/F43&lt;0,"No payback",F$32/F43),"")</f>
        <v/>
      </c>
    </row>
    <row r="45" spans="2:8" x14ac:dyDescent="0.3"/>
    <row r="46" spans="2:8" s="97" customFormat="1" ht="14.4" x14ac:dyDescent="0.3">
      <c r="B46" s="109" t="s">
        <v>114</v>
      </c>
      <c r="C46" s="207">
        <f>IF(C$34=0,0,C$34*VLOOKUP('Building Breakdown'!$E$11,'Emission factors'!$B$4:$D$8,3,FALSE))</f>
        <v>0</v>
      </c>
      <c r="D46" s="207">
        <f>IF(D$34=0,0,D$34*VLOOKUP('Building Breakdown'!$E$11,'Emission factors'!$B$4:$D$8,3,FALSE))</f>
        <v>0</v>
      </c>
      <c r="E46" s="207">
        <f>IF(E$34=0,0,E$34*VLOOKUP('Building Breakdown'!$E$11,'Emission factors'!$B$4:$D$8,3,FALSE))</f>
        <v>0</v>
      </c>
      <c r="F46" s="208">
        <f t="shared" ref="F46:F49" si="3">SUM(C46:E46)</f>
        <v>0</v>
      </c>
    </row>
    <row r="47" spans="2:8" s="97" customFormat="1" ht="14.4" x14ac:dyDescent="0.3">
      <c r="B47" s="110" t="s">
        <v>115</v>
      </c>
      <c r="C47" s="206">
        <f>IF(C$35=0,0,C$35*VLOOKUP('Building Breakdown'!$E$12,'Emission factors'!$B$4:$D$8,3,FALSE))</f>
        <v>0</v>
      </c>
      <c r="D47" s="206">
        <f>IF(D$35=0,0,D$35*VLOOKUP('Building Breakdown'!$E$12,'Emission factors'!$B$4:$D$8,3,FALSE))</f>
        <v>0</v>
      </c>
      <c r="E47" s="206">
        <f>IF(E$35=0,0,E$35*VLOOKUP('Building Breakdown'!$E$12,'Emission factors'!$B$4:$D$8,3,FALSE))</f>
        <v>0</v>
      </c>
      <c r="F47" s="209">
        <f t="shared" si="3"/>
        <v>0</v>
      </c>
    </row>
    <row r="48" spans="2:8" s="97" customFormat="1" ht="14.4" x14ac:dyDescent="0.3">
      <c r="B48" s="110" t="s">
        <v>116</v>
      </c>
      <c r="C48" s="206">
        <f>IF(C$36=0,0,C$36*VLOOKUP('Building Breakdown'!$E$13,'Emission factors'!$B$4:$D$8,3,FALSE))</f>
        <v>0</v>
      </c>
      <c r="D48" s="206">
        <f>IF(D$36=0,0,D$36*VLOOKUP('Building Breakdown'!$E$13,'Emission factors'!$B$4:$D$8,3,FALSE))</f>
        <v>0</v>
      </c>
      <c r="E48" s="206">
        <f>IF(E$36=0,0,E$36*VLOOKUP('Building Breakdown'!$E$13,'Emission factors'!$B$4:$D$8,3,FALSE))</f>
        <v>0</v>
      </c>
      <c r="F48" s="209">
        <f t="shared" si="3"/>
        <v>0</v>
      </c>
    </row>
    <row r="49" spans="2:6" s="97" customFormat="1" ht="14.4" x14ac:dyDescent="0.3">
      <c r="B49" s="110" t="s">
        <v>117</v>
      </c>
      <c r="C49" s="206">
        <f>C37*'Emission factors'!$D$8</f>
        <v>0</v>
      </c>
      <c r="D49" s="206">
        <f>D37*'Emission factors'!$D$8</f>
        <v>0</v>
      </c>
      <c r="E49" s="206">
        <f>E37*'Emission factors'!$D$8</f>
        <v>0</v>
      </c>
      <c r="F49" s="209">
        <f t="shared" si="3"/>
        <v>0</v>
      </c>
    </row>
    <row r="50" spans="2:6" s="97" customFormat="1" ht="26.4" x14ac:dyDescent="0.3">
      <c r="B50" s="194" t="s">
        <v>118</v>
      </c>
      <c r="C50" s="210">
        <f>SUM(C$46:C$49)</f>
        <v>0</v>
      </c>
      <c r="D50" s="210">
        <f t="shared" ref="D50:E50" si="4">SUM(D$46:D$49)</f>
        <v>0</v>
      </c>
      <c r="E50" s="210">
        <f t="shared" si="4"/>
        <v>0</v>
      </c>
      <c r="F50" s="211">
        <f>SUM(C50:E50)</f>
        <v>0</v>
      </c>
    </row>
    <row r="51" spans="2:6" s="97" customFormat="1" ht="13.8" x14ac:dyDescent="0.3">
      <c r="B51" s="111"/>
      <c r="C51" s="98"/>
      <c r="D51" s="98"/>
      <c r="E51" s="98"/>
    </row>
    <row r="52" spans="2:6" x14ac:dyDescent="0.3"/>
    <row r="53" spans="2:6" x14ac:dyDescent="0.3"/>
    <row r="54" spans="2:6" x14ac:dyDescent="0.3"/>
    <row r="55" spans="2:6" x14ac:dyDescent="0.3"/>
    <row r="56" spans="2:6" x14ac:dyDescent="0.3"/>
  </sheetData>
  <sheetProtection algorithmName="SHA-512" hashValue="zG1BxwR1GfgsAgZb1cTDeLm3/tqXj8+lY3x4Ls50ownInV5o9YyAeIt74KuFFrz5xYsxOpLrhEGrti12tbzm2w==" saltValue="qgzveAvgigjVLeA1/W6ssA==" spinCount="100000" sheet="1" objects="1" scenarios="1"/>
  <mergeCells count="1">
    <mergeCell ref="C4:E4"/>
  </mergeCells>
  <pageMargins left="0.7" right="0.7" top="0.75" bottom="0.75" header="0.3" footer="0.3"/>
  <pageSetup paperSize="9" orientation="portrait" r:id="rId1"/>
  <headerFooter>
    <oddFooter>&amp;L&amp;1#&amp;"Calibri"&amp;10&amp;K000000 -------------------------------------------------------- This document is marked as confidential</oddFooter>
  </headerFooter>
  <ignoredErrors>
    <ignoredError sqref="C18:E18 C20:E20 C22:E22 C24:E24 C26:E26 C28:E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8AC2-5B64-4CF8-B751-724CA16D99A5}">
  <sheetPr codeName="Sheet7">
    <tabColor rgb="FF9BC2E6"/>
  </sheetPr>
  <dimension ref="A1:F35"/>
  <sheetViews>
    <sheetView showGridLines="0" workbookViewId="0">
      <selection activeCell="B5" sqref="B5"/>
    </sheetView>
  </sheetViews>
  <sheetFormatPr defaultColWidth="0" defaultRowHeight="14.4" zeroHeight="1" x14ac:dyDescent="0.3"/>
  <cols>
    <col min="1" max="1" width="3.6640625" style="57" customWidth="1"/>
    <col min="2" max="2" width="34.6640625" style="57" bestFit="1" customWidth="1"/>
    <col min="3" max="3" width="36.6640625" style="57" bestFit="1" customWidth="1"/>
    <col min="4" max="4" width="80.33203125" style="57" customWidth="1"/>
    <col min="5" max="5" width="13.33203125" style="57" bestFit="1" customWidth="1"/>
    <col min="6" max="6" width="8.6640625" style="57" customWidth="1"/>
    <col min="7" max="16384" width="8.6640625" style="57" hidden="1"/>
  </cols>
  <sheetData>
    <row r="1" spans="2:5" x14ac:dyDescent="0.3"/>
    <row r="2" spans="2:5" ht="18" x14ac:dyDescent="0.3">
      <c r="B2" s="59" t="s">
        <v>138</v>
      </c>
    </row>
    <row r="3" spans="2:5" x14ac:dyDescent="0.3"/>
    <row r="4" spans="2:5" x14ac:dyDescent="0.3">
      <c r="B4" s="60" t="s">
        <v>139</v>
      </c>
      <c r="C4" s="60" t="s">
        <v>140</v>
      </c>
      <c r="D4" s="60" t="s">
        <v>141</v>
      </c>
      <c r="E4" s="60" t="s">
        <v>142</v>
      </c>
    </row>
    <row r="5" spans="2:5" x14ac:dyDescent="0.3">
      <c r="B5" s="65" t="s">
        <v>143</v>
      </c>
      <c r="C5" s="65" t="s">
        <v>144</v>
      </c>
      <c r="D5" s="66"/>
      <c r="E5" s="65"/>
    </row>
    <row r="6" spans="2:5" x14ac:dyDescent="0.3">
      <c r="B6" s="65" t="s">
        <v>143</v>
      </c>
      <c r="C6" s="65" t="s">
        <v>93</v>
      </c>
      <c r="D6" s="66"/>
      <c r="E6" s="65"/>
    </row>
    <row r="7" spans="2:5" x14ac:dyDescent="0.3">
      <c r="B7" s="65" t="s">
        <v>143</v>
      </c>
      <c r="C7" s="65" t="s">
        <v>145</v>
      </c>
      <c r="D7" s="66"/>
      <c r="E7" s="65"/>
    </row>
    <row r="8" spans="2:5" x14ac:dyDescent="0.3">
      <c r="B8" s="65" t="s">
        <v>143</v>
      </c>
      <c r="C8" s="65" t="s">
        <v>146</v>
      </c>
      <c r="D8" s="66"/>
      <c r="E8" s="65"/>
    </row>
    <row r="9" spans="2:5" x14ac:dyDescent="0.3">
      <c r="B9" s="65" t="s">
        <v>143</v>
      </c>
      <c r="C9" s="65" t="s">
        <v>147</v>
      </c>
      <c r="D9" s="66"/>
      <c r="E9" s="65"/>
    </row>
    <row r="10" spans="2:5" x14ac:dyDescent="0.3">
      <c r="B10" s="65" t="s">
        <v>17</v>
      </c>
      <c r="C10" s="65" t="s">
        <v>20</v>
      </c>
      <c r="D10" s="66"/>
      <c r="E10" s="65"/>
    </row>
    <row r="11" spans="2:5" x14ac:dyDescent="0.3">
      <c r="B11" s="65" t="s">
        <v>17</v>
      </c>
      <c r="C11" s="65" t="s">
        <v>148</v>
      </c>
      <c r="D11" s="66"/>
      <c r="E11" s="65"/>
    </row>
    <row r="12" spans="2:5" x14ac:dyDescent="0.3">
      <c r="B12" s="65" t="s">
        <v>17</v>
      </c>
      <c r="C12" s="65" t="s">
        <v>32</v>
      </c>
      <c r="D12" s="65"/>
      <c r="E12" s="66"/>
    </row>
    <row r="13" spans="2:5" x14ac:dyDescent="0.3">
      <c r="B13" s="65" t="s">
        <v>17</v>
      </c>
      <c r="C13" s="65" t="s">
        <v>44</v>
      </c>
      <c r="D13" s="65"/>
      <c r="E13" s="65"/>
    </row>
    <row r="14" spans="2:5" x14ac:dyDescent="0.3">
      <c r="B14" s="65" t="s">
        <v>17</v>
      </c>
      <c r="C14" s="66" t="s">
        <v>45</v>
      </c>
      <c r="D14" s="66"/>
      <c r="E14" s="65"/>
    </row>
    <row r="15" spans="2:5" x14ac:dyDescent="0.3">
      <c r="B15" s="65" t="s">
        <v>17</v>
      </c>
      <c r="C15" s="65" t="s">
        <v>46</v>
      </c>
      <c r="D15" s="66"/>
      <c r="E15" s="65"/>
    </row>
    <row r="16" spans="2:5" x14ac:dyDescent="0.3">
      <c r="B16" s="65" t="s">
        <v>17</v>
      </c>
      <c r="C16" s="65" t="s">
        <v>48</v>
      </c>
      <c r="D16" s="66"/>
      <c r="E16" s="65"/>
    </row>
    <row r="17" spans="2:5" x14ac:dyDescent="0.3">
      <c r="B17" s="65" t="s">
        <v>17</v>
      </c>
      <c r="C17" s="65" t="s">
        <v>49</v>
      </c>
      <c r="D17" s="66"/>
      <c r="E17" s="65"/>
    </row>
    <row r="18" spans="2:5" x14ac:dyDescent="0.3">
      <c r="B18" s="65" t="s">
        <v>17</v>
      </c>
      <c r="C18" s="65" t="s">
        <v>50</v>
      </c>
      <c r="D18" s="66"/>
      <c r="E18" s="65"/>
    </row>
    <row r="19" spans="2:5" x14ac:dyDescent="0.3">
      <c r="B19" s="65" t="s">
        <v>17</v>
      </c>
      <c r="C19" s="65" t="s">
        <v>51</v>
      </c>
      <c r="D19" s="66"/>
      <c r="E19" s="65"/>
    </row>
    <row r="20" spans="2:5" x14ac:dyDescent="0.3">
      <c r="B20" s="65" t="s">
        <v>17</v>
      </c>
      <c r="C20" s="65" t="s">
        <v>149</v>
      </c>
      <c r="D20" s="66"/>
      <c r="E20" s="65"/>
    </row>
    <row r="21" spans="2:5" x14ac:dyDescent="0.3">
      <c r="B21" s="65" t="s">
        <v>17</v>
      </c>
      <c r="C21" s="65" t="s">
        <v>52</v>
      </c>
      <c r="D21" s="66"/>
      <c r="E21" s="65"/>
    </row>
    <row r="22" spans="2:5" x14ac:dyDescent="0.3">
      <c r="B22" s="65" t="s">
        <v>17</v>
      </c>
      <c r="C22" s="65" t="s">
        <v>150</v>
      </c>
      <c r="D22" s="66"/>
      <c r="E22" s="65"/>
    </row>
    <row r="23" spans="2:5" x14ac:dyDescent="0.3">
      <c r="B23" s="65" t="s">
        <v>119</v>
      </c>
      <c r="C23" s="65" t="s">
        <v>122</v>
      </c>
      <c r="D23" s="65"/>
      <c r="E23" s="65"/>
    </row>
    <row r="24" spans="2:5" x14ac:dyDescent="0.3">
      <c r="B24" s="65" t="s">
        <v>119</v>
      </c>
      <c r="C24" s="65" t="s">
        <v>123</v>
      </c>
      <c r="D24" s="65"/>
      <c r="E24" s="65"/>
    </row>
    <row r="25" spans="2:5" x14ac:dyDescent="0.3">
      <c r="B25" s="65" t="s">
        <v>119</v>
      </c>
      <c r="C25" s="65" t="s">
        <v>125</v>
      </c>
      <c r="D25" s="65"/>
      <c r="E25" s="65"/>
    </row>
    <row r="26" spans="2:5" x14ac:dyDescent="0.3"/>
    <row r="30" spans="2:5" ht="18" hidden="1" x14ac:dyDescent="0.3">
      <c r="C30" s="59"/>
    </row>
    <row r="35" spans="4:4" ht="18" hidden="1" x14ac:dyDescent="0.3">
      <c r="D35" s="59"/>
    </row>
  </sheetData>
  <sheetProtection algorithmName="SHA-512" hashValue="Qw805GQ2glr/2rXhOxetHSv/ERZx4TNZD3v6VSCgqhYChP7n30uiQgztbI2mJ6OVgRiDDxcEpaUBntB2/i5pfg==" saltValue="CykqaZu1jMOOtxQ2iZLq7Q==" spinCount="100000" sheet="1" objects="1" scenarios="1"/>
  <pageMargins left="0.7" right="0.7" top="0.75" bottom="0.75" header="0.3" footer="0.3"/>
  <pageSetup paperSize="9" orientation="portrait" r:id="rId1"/>
  <headerFooter>
    <oddFooter>&amp;L&amp;1#&amp;"Calibri"&amp;10&amp;K000000 -------------------------------------------------------- This document is marked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EF5B-BB4F-40EF-BC9A-4F17385F09CC}">
  <sheetPr codeName="Sheet1">
    <tabColor rgb="FF9BC2E6"/>
    <pageSetUpPr autoPageBreaks="0"/>
  </sheetPr>
  <dimension ref="A1:F26"/>
  <sheetViews>
    <sheetView showGridLines="0" zoomScaleNormal="100" workbookViewId="0">
      <selection activeCell="D12" sqref="D12"/>
    </sheetView>
  </sheetViews>
  <sheetFormatPr defaultColWidth="0" defaultRowHeight="14.7" customHeight="1" zeroHeight="1" x14ac:dyDescent="0.3"/>
  <cols>
    <col min="1" max="1" width="3.6640625" style="57" customWidth="1"/>
    <col min="2" max="2" width="15.6640625" style="57" bestFit="1" customWidth="1"/>
    <col min="3" max="3" width="14.33203125" style="57" bestFit="1" customWidth="1"/>
    <col min="4" max="4" width="13.5546875" style="57" bestFit="1" customWidth="1"/>
    <col min="5" max="5" width="75.5546875" style="57" customWidth="1"/>
    <col min="6" max="6" width="8.6640625" style="57" customWidth="1"/>
    <col min="7" max="7" width="8.6640625" style="57" hidden="1" customWidth="1"/>
    <col min="8" max="16384" width="8.6640625" style="57" hidden="1"/>
  </cols>
  <sheetData>
    <row r="1" spans="2:5" ht="14.7" customHeight="1" x14ac:dyDescent="0.3"/>
    <row r="2" spans="2:5" ht="18" x14ac:dyDescent="0.3">
      <c r="B2" s="59" t="s">
        <v>151</v>
      </c>
    </row>
    <row r="3" spans="2:5" ht="14.7" customHeight="1" x14ac:dyDescent="0.3"/>
    <row r="4" spans="2:5" ht="14.4" x14ac:dyDescent="0.3">
      <c r="B4" s="60" t="s">
        <v>152</v>
      </c>
      <c r="C4" s="60" t="s">
        <v>153</v>
      </c>
      <c r="D4" s="60" t="s">
        <v>154</v>
      </c>
      <c r="E4" s="60" t="s">
        <v>155</v>
      </c>
    </row>
    <row r="5" spans="2:5" ht="14.4" x14ac:dyDescent="0.3">
      <c r="B5" s="61">
        <v>1</v>
      </c>
      <c r="C5" s="62">
        <v>44539</v>
      </c>
      <c r="D5" s="63" t="s">
        <v>156</v>
      </c>
      <c r="E5" s="64" t="s">
        <v>157</v>
      </c>
    </row>
    <row r="6" spans="2:5" ht="14.4" x14ac:dyDescent="0.3">
      <c r="B6" s="63">
        <v>1.1000000000000001</v>
      </c>
      <c r="C6" s="62">
        <v>44733</v>
      </c>
      <c r="D6" s="63" t="s">
        <v>158</v>
      </c>
      <c r="E6" s="64" t="s">
        <v>159</v>
      </c>
    </row>
    <row r="7" spans="2:5" ht="14.4" x14ac:dyDescent="0.3">
      <c r="B7" s="63">
        <v>1.2</v>
      </c>
      <c r="C7" s="62">
        <v>44764</v>
      </c>
      <c r="D7" s="63" t="s">
        <v>158</v>
      </c>
      <c r="E7" s="64" t="s">
        <v>160</v>
      </c>
    </row>
    <row r="8" spans="2:5" ht="14.4" x14ac:dyDescent="0.3">
      <c r="B8" s="149">
        <v>2</v>
      </c>
      <c r="C8" s="147">
        <v>44581</v>
      </c>
      <c r="D8" s="146" t="s">
        <v>156</v>
      </c>
      <c r="E8" s="148" t="s">
        <v>161</v>
      </c>
    </row>
    <row r="9" spans="2:5" ht="14.4" x14ac:dyDescent="0.3">
      <c r="B9" s="149">
        <v>2.1</v>
      </c>
      <c r="C9" s="147">
        <v>44965</v>
      </c>
      <c r="D9" s="146" t="s">
        <v>156</v>
      </c>
      <c r="E9" s="148" t="s">
        <v>162</v>
      </c>
    </row>
    <row r="10" spans="2:5" ht="14.4" x14ac:dyDescent="0.3">
      <c r="B10" s="149"/>
      <c r="C10" s="147"/>
      <c r="D10" s="146"/>
      <c r="E10" s="148"/>
    </row>
    <row r="11" spans="2:5" ht="14.4" x14ac:dyDescent="0.3">
      <c r="B11" s="149"/>
      <c r="C11" s="147"/>
      <c r="D11" s="146"/>
      <c r="E11" s="148"/>
    </row>
    <row r="12" spans="2:5" ht="14.4" x14ac:dyDescent="0.3">
      <c r="B12" s="149"/>
      <c r="C12" s="147"/>
      <c r="D12" s="146"/>
      <c r="E12" s="148"/>
    </row>
    <row r="13" spans="2:5" ht="14.4" x14ac:dyDescent="0.3">
      <c r="B13" s="149"/>
      <c r="C13" s="147"/>
      <c r="D13" s="146"/>
      <c r="E13" s="148"/>
    </row>
    <row r="14" spans="2:5" ht="14.4" x14ac:dyDescent="0.3">
      <c r="B14" s="149"/>
      <c r="C14" s="147"/>
      <c r="D14" s="146"/>
      <c r="E14" s="148"/>
    </row>
    <row r="15" spans="2:5" ht="14.4" x14ac:dyDescent="0.3">
      <c r="B15" s="212"/>
      <c r="C15" s="147"/>
      <c r="D15" s="146"/>
      <c r="E15" s="148"/>
    </row>
    <row r="16" spans="2:5" ht="14.4" x14ac:dyDescent="0.3">
      <c r="B16" s="213"/>
      <c r="C16" s="147"/>
      <c r="D16" s="146"/>
      <c r="E16" s="148"/>
    </row>
    <row r="17" spans="2:5" ht="14.4" x14ac:dyDescent="0.3">
      <c r="B17" s="149"/>
      <c r="C17" s="147"/>
      <c r="D17" s="146"/>
      <c r="E17" s="148"/>
    </row>
    <row r="18" spans="2:5" ht="14.7" customHeight="1" x14ac:dyDescent="0.3">
      <c r="B18" s="149"/>
      <c r="C18" s="147"/>
      <c r="D18" s="146"/>
      <c r="E18" s="148"/>
    </row>
    <row r="19" spans="2:5" ht="14.4" x14ac:dyDescent="0.3">
      <c r="B19" s="149"/>
      <c r="C19" s="147"/>
      <c r="D19" s="146"/>
      <c r="E19" s="148"/>
    </row>
    <row r="20" spans="2:5" ht="14.7" customHeight="1" x14ac:dyDescent="0.3">
      <c r="B20" s="149"/>
      <c r="C20" s="147"/>
      <c r="D20" s="146"/>
      <c r="E20" s="146"/>
    </row>
    <row r="21" spans="2:5" ht="14.7" customHeight="1" x14ac:dyDescent="0.3">
      <c r="B21" s="149"/>
      <c r="C21" s="147"/>
      <c r="D21" s="146"/>
      <c r="E21" s="146"/>
    </row>
    <row r="22" spans="2:5" ht="14.7" customHeight="1" x14ac:dyDescent="0.3">
      <c r="B22" s="149"/>
      <c r="C22" s="146"/>
      <c r="D22" s="146"/>
      <c r="E22" s="146"/>
    </row>
    <row r="23" spans="2:5" ht="14.7" customHeight="1" x14ac:dyDescent="0.3">
      <c r="B23" s="149"/>
      <c r="C23" s="146"/>
      <c r="D23" s="146"/>
      <c r="E23" s="146"/>
    </row>
    <row r="24" spans="2:5" ht="14.7" customHeight="1" x14ac:dyDescent="0.3">
      <c r="B24" s="149"/>
      <c r="C24" s="146"/>
      <c r="D24" s="146"/>
      <c r="E24" s="146"/>
    </row>
    <row r="25" spans="2:5" ht="14.7" customHeight="1" x14ac:dyDescent="0.3">
      <c r="B25" s="149"/>
      <c r="C25" s="146"/>
      <c r="D25" s="146"/>
      <c r="E25" s="146"/>
    </row>
    <row r="26" spans="2:5" ht="14.7" customHeight="1" x14ac:dyDescent="0.3"/>
  </sheetData>
  <sheetProtection algorithmName="SHA-512" hashValue="EYDA6s6JNKONrPuQiNycoOtUhGiNaXEFhnNLWcUjrQf5yf65e9R4Uj2uUtdTPB6mk61lz0yjxONcn9DomTkWdQ==" saltValue="vlNiURSE8nciU9Q8LYyRhg==" spinCount="100000" sheet="1" objects="1" scenarios="1" selectLockedCells="1" selectUnlockedCells="1"/>
  <pageMargins left="0.7" right="0.7" top="0.75" bottom="0.75" header="0.3" footer="0.3"/>
  <pageSetup paperSize="9" orientation="portrait" r:id="rId1"/>
  <headerFooter>
    <oddFooter>&amp;L&amp;1#&amp;"Calibri"&amp;10&amp;K000000 -------------------------------------------------------- This document is marked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F3B85-8BFF-446D-A130-FADA9D6D452B}">
  <sheetPr codeName="Sheet6">
    <tabColor rgb="FFFF0000"/>
  </sheetPr>
  <dimension ref="B2:F8"/>
  <sheetViews>
    <sheetView workbookViewId="0"/>
  </sheetViews>
  <sheetFormatPr defaultRowHeight="14.4" x14ac:dyDescent="0.3"/>
  <cols>
    <col min="2" max="2" width="14" bestFit="1" customWidth="1"/>
    <col min="3" max="3" width="8.109375" customWidth="1"/>
    <col min="4" max="4" width="20.5546875" customWidth="1"/>
  </cols>
  <sheetData>
    <row r="2" spans="2:6" ht="15.6" x14ac:dyDescent="0.35">
      <c r="B2" s="182" t="s">
        <v>163</v>
      </c>
      <c r="C2" s="182" t="s">
        <v>164</v>
      </c>
      <c r="D2" s="182" t="s">
        <v>165</v>
      </c>
    </row>
    <row r="3" spans="2:6" x14ac:dyDescent="0.3">
      <c r="B3" s="183" t="s">
        <v>166</v>
      </c>
      <c r="C3" s="183" t="s">
        <v>167</v>
      </c>
      <c r="D3" s="183" t="s">
        <v>168</v>
      </c>
    </row>
    <row r="4" spans="2:6" x14ac:dyDescent="0.3">
      <c r="B4" t="s">
        <v>169</v>
      </c>
      <c r="C4" t="s">
        <v>170</v>
      </c>
      <c r="D4">
        <v>1.0529999999999999E-2</v>
      </c>
      <c r="F4" t="s">
        <v>101</v>
      </c>
    </row>
    <row r="5" spans="2:6" x14ac:dyDescent="0.3">
      <c r="B5" t="s">
        <v>171</v>
      </c>
      <c r="C5" t="s">
        <v>170</v>
      </c>
      <c r="D5">
        <v>0.24677000000000002</v>
      </c>
      <c r="F5" t="s">
        <v>103</v>
      </c>
    </row>
    <row r="6" spans="2:6" x14ac:dyDescent="0.3">
      <c r="B6" t="s">
        <v>172</v>
      </c>
      <c r="C6" t="s">
        <v>170</v>
      </c>
      <c r="D6">
        <v>0.21448999999999999</v>
      </c>
      <c r="F6" t="s">
        <v>105</v>
      </c>
    </row>
    <row r="7" spans="2:6" x14ac:dyDescent="0.3">
      <c r="B7" t="s">
        <v>27</v>
      </c>
      <c r="C7" t="s">
        <v>170</v>
      </c>
      <c r="D7">
        <v>0.18253999999999998</v>
      </c>
    </row>
    <row r="8" spans="2:6" x14ac:dyDescent="0.3">
      <c r="B8" t="s">
        <v>173</v>
      </c>
      <c r="C8" t="s">
        <v>174</v>
      </c>
      <c r="D8">
        <v>0.19338</v>
      </c>
    </row>
  </sheetData>
  <phoneticPr fontId="4" type="noConversion"/>
  <pageMargins left="0.7" right="0.7" top="0.75" bottom="0.75" header="0.3" footer="0.3"/>
  <pageSetup paperSize="9" orientation="portrait" r:id="rId1"/>
  <headerFooter>
    <oddFooter>&amp;L&amp;1#&amp;"Calibri"&amp;10&amp;K000000 -------------------------------------------------------- This document is marked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2D72-4BF6-4506-AF58-34CC6E971BF8}">
  <sheetPr codeName="Sheet8">
    <tabColor rgb="FFFF0000"/>
  </sheetPr>
  <dimension ref="A2:P64"/>
  <sheetViews>
    <sheetView zoomScale="85" zoomScaleNormal="85" workbookViewId="0"/>
  </sheetViews>
  <sheetFormatPr defaultRowHeight="14.4" x14ac:dyDescent="0.3"/>
  <cols>
    <col min="1" max="1" width="44.6640625" style="16" bestFit="1" customWidth="1"/>
    <col min="3" max="3" width="27.44140625" style="4" customWidth="1"/>
    <col min="4" max="4" width="11.33203125" bestFit="1" customWidth="1"/>
    <col min="5" max="5" width="25" customWidth="1"/>
    <col min="6" max="6" width="14.33203125" customWidth="1"/>
    <col min="7" max="7" width="11.33203125" bestFit="1" customWidth="1"/>
    <col min="8" max="8" width="13.5546875" bestFit="1" customWidth="1"/>
    <col min="9" max="9" width="15" bestFit="1" customWidth="1"/>
    <col min="11" max="11" width="22" customWidth="1"/>
  </cols>
  <sheetData>
    <row r="2" spans="1:16" x14ac:dyDescent="0.3">
      <c r="A2" s="15" t="s">
        <v>175</v>
      </c>
      <c r="B2" s="1"/>
    </row>
    <row r="3" spans="1:16" x14ac:dyDescent="0.3">
      <c r="D3" s="251" t="s">
        <v>176</v>
      </c>
      <c r="E3" s="251"/>
      <c r="F3" s="251"/>
      <c r="G3" s="251"/>
    </row>
    <row r="4" spans="1:16" ht="43.2" x14ac:dyDescent="0.3">
      <c r="A4" s="17" t="s">
        <v>166</v>
      </c>
      <c r="B4" s="11" t="s">
        <v>177</v>
      </c>
      <c r="C4" s="19" t="s">
        <v>50</v>
      </c>
      <c r="D4" s="11" t="s">
        <v>178</v>
      </c>
      <c r="E4" s="11" t="s">
        <v>179</v>
      </c>
      <c r="F4" s="19" t="s">
        <v>180</v>
      </c>
      <c r="G4" s="19" t="s">
        <v>181</v>
      </c>
      <c r="M4" s="214"/>
      <c r="N4" s="215" t="s">
        <v>182</v>
      </c>
      <c r="O4" s="214"/>
      <c r="P4" s="214"/>
    </row>
    <row r="5" spans="1:16" x14ac:dyDescent="0.3">
      <c r="A5" s="18" t="s">
        <v>183</v>
      </c>
      <c r="B5" s="8"/>
      <c r="C5" s="9" t="s">
        <v>184</v>
      </c>
      <c r="D5" s="20">
        <v>0</v>
      </c>
      <c r="E5" s="20">
        <v>2000</v>
      </c>
      <c r="F5" s="8">
        <v>0.5</v>
      </c>
      <c r="G5" s="8">
        <v>40</v>
      </c>
      <c r="H5" s="28">
        <f>F5/E5</f>
        <v>2.5000000000000001E-4</v>
      </c>
      <c r="I5" s="28">
        <f>G5/E5</f>
        <v>0.02</v>
      </c>
      <c r="M5" s="214"/>
      <c r="N5" s="214">
        <v>2021</v>
      </c>
      <c r="O5" s="216">
        <v>2.5000000000000001E-2</v>
      </c>
      <c r="P5" s="214"/>
    </row>
    <row r="6" spans="1:16" x14ac:dyDescent="0.3">
      <c r="A6" s="18" t="s">
        <v>183</v>
      </c>
      <c r="B6" s="8"/>
      <c r="C6" s="9" t="s">
        <v>185</v>
      </c>
      <c r="D6" s="20">
        <f>E5</f>
        <v>2000</v>
      </c>
      <c r="E6" s="20">
        <v>5000</v>
      </c>
      <c r="F6" s="8">
        <v>2</v>
      </c>
      <c r="G6" s="8">
        <v>100</v>
      </c>
      <c r="H6" s="28">
        <f t="shared" ref="H6:H17" si="0">F6/E6</f>
        <v>4.0000000000000002E-4</v>
      </c>
      <c r="I6" s="28">
        <f t="shared" ref="I6:I17" si="1">G6/E6</f>
        <v>0.02</v>
      </c>
      <c r="M6" s="214"/>
      <c r="N6" s="214">
        <v>2022</v>
      </c>
      <c r="O6" s="216">
        <v>7.9000000000000001E-2</v>
      </c>
      <c r="P6" s="214"/>
    </row>
    <row r="7" spans="1:16" x14ac:dyDescent="0.3">
      <c r="A7" s="18" t="s">
        <v>183</v>
      </c>
      <c r="B7" s="8"/>
      <c r="C7" s="9" t="s">
        <v>186</v>
      </c>
      <c r="D7" s="20">
        <f>E6</f>
        <v>5000</v>
      </c>
      <c r="E7" s="20">
        <v>12000</v>
      </c>
      <c r="F7" s="8">
        <v>4</v>
      </c>
      <c r="G7" s="8">
        <v>100</v>
      </c>
      <c r="H7" s="28">
        <f t="shared" si="0"/>
        <v>3.3333333333333332E-4</v>
      </c>
      <c r="I7" s="28">
        <f t="shared" si="1"/>
        <v>8.3333333333333332E-3</v>
      </c>
      <c r="M7" s="214"/>
      <c r="N7" s="214"/>
      <c r="O7" s="216">
        <f>(1+O5)*(1+O6)</f>
        <v>1.1059749999999999</v>
      </c>
      <c r="P7" s="2" t="s">
        <v>187</v>
      </c>
    </row>
    <row r="8" spans="1:16" ht="15" customHeight="1" x14ac:dyDescent="0.3">
      <c r="A8" s="18" t="s">
        <v>183</v>
      </c>
      <c r="B8" s="8"/>
      <c r="C8" s="9" t="s">
        <v>188</v>
      </c>
      <c r="D8" s="20">
        <v>0</v>
      </c>
      <c r="E8" s="20">
        <v>0</v>
      </c>
      <c r="F8" s="8">
        <v>1</v>
      </c>
      <c r="G8" s="8">
        <v>20</v>
      </c>
      <c r="H8" s="28" t="e">
        <f>F8/E8</f>
        <v>#DIV/0!</v>
      </c>
      <c r="I8" s="28" t="e">
        <f t="shared" si="1"/>
        <v>#DIV/0!</v>
      </c>
    </row>
    <row r="9" spans="1:16" ht="15" customHeight="1" x14ac:dyDescent="0.3">
      <c r="A9" s="18" t="s">
        <v>183</v>
      </c>
      <c r="B9" s="8"/>
      <c r="C9" s="9" t="s">
        <v>189</v>
      </c>
      <c r="D9" s="20">
        <f>E8</f>
        <v>0</v>
      </c>
      <c r="E9" s="20">
        <v>300</v>
      </c>
      <c r="F9" s="8">
        <v>1</v>
      </c>
      <c r="G9" s="8">
        <v>50</v>
      </c>
      <c r="H9" s="28">
        <f t="shared" si="0"/>
        <v>3.3333333333333335E-3</v>
      </c>
      <c r="I9" s="28">
        <f t="shared" si="1"/>
        <v>0.16666666666666666</v>
      </c>
    </row>
    <row r="10" spans="1:16" ht="15" customHeight="1" x14ac:dyDescent="0.3">
      <c r="A10" s="18" t="s">
        <v>183</v>
      </c>
      <c r="B10" s="8"/>
      <c r="C10" s="9" t="s">
        <v>190</v>
      </c>
      <c r="D10" s="20">
        <f>E9</f>
        <v>300</v>
      </c>
      <c r="E10" s="20">
        <v>1000</v>
      </c>
      <c r="F10" s="8">
        <v>3</v>
      </c>
      <c r="G10" s="8">
        <v>150</v>
      </c>
      <c r="H10" s="28">
        <f t="shared" si="0"/>
        <v>3.0000000000000001E-3</v>
      </c>
      <c r="I10" s="28">
        <f t="shared" si="1"/>
        <v>0.15</v>
      </c>
    </row>
    <row r="11" spans="1:16" x14ac:dyDescent="0.3">
      <c r="A11" s="18" t="s">
        <v>183</v>
      </c>
      <c r="B11" s="8"/>
      <c r="C11" s="9" t="s">
        <v>191</v>
      </c>
      <c r="D11" s="20">
        <v>0</v>
      </c>
      <c r="E11" s="20">
        <v>500</v>
      </c>
      <c r="F11" s="8">
        <v>1</v>
      </c>
      <c r="G11" s="8">
        <v>50</v>
      </c>
      <c r="H11" s="28">
        <f t="shared" si="0"/>
        <v>2E-3</v>
      </c>
      <c r="I11" s="28">
        <f t="shared" si="1"/>
        <v>0.1</v>
      </c>
    </row>
    <row r="12" spans="1:16" x14ac:dyDescent="0.3">
      <c r="A12" s="18" t="s">
        <v>183</v>
      </c>
      <c r="B12" s="8"/>
      <c r="C12" s="9" t="s">
        <v>192</v>
      </c>
      <c r="D12" s="20">
        <v>0</v>
      </c>
      <c r="E12" s="20">
        <v>300</v>
      </c>
      <c r="F12" s="8">
        <v>0.5</v>
      </c>
      <c r="G12" s="8">
        <v>20</v>
      </c>
      <c r="H12" s="28">
        <f t="shared" si="0"/>
        <v>1.6666666666666668E-3</v>
      </c>
      <c r="I12" s="28">
        <f t="shared" si="1"/>
        <v>6.6666666666666666E-2</v>
      </c>
    </row>
    <row r="13" spans="1:16" x14ac:dyDescent="0.3">
      <c r="A13" s="18" t="s">
        <v>183</v>
      </c>
      <c r="B13" s="8"/>
      <c r="C13" s="9" t="s">
        <v>193</v>
      </c>
      <c r="D13" s="20">
        <f>E12</f>
        <v>300</v>
      </c>
      <c r="E13" s="20">
        <v>700</v>
      </c>
      <c r="F13" s="8">
        <v>0.5</v>
      </c>
      <c r="G13" s="8">
        <v>40</v>
      </c>
      <c r="H13" s="28">
        <f t="shared" si="0"/>
        <v>7.1428571428571429E-4</v>
      </c>
      <c r="I13" s="28">
        <f t="shared" si="1"/>
        <v>5.7142857142857141E-2</v>
      </c>
    </row>
    <row r="14" spans="1:16" x14ac:dyDescent="0.3">
      <c r="A14" s="18" t="s">
        <v>183</v>
      </c>
      <c r="B14" s="8"/>
      <c r="C14" s="9" t="s">
        <v>194</v>
      </c>
      <c r="D14" s="20">
        <f>E13</f>
        <v>700</v>
      </c>
      <c r="E14" s="20">
        <v>2000</v>
      </c>
      <c r="F14" s="8">
        <v>1</v>
      </c>
      <c r="G14" s="8">
        <v>50</v>
      </c>
      <c r="H14" s="28">
        <f t="shared" si="0"/>
        <v>5.0000000000000001E-4</v>
      </c>
      <c r="I14" s="28">
        <f t="shared" si="1"/>
        <v>2.5000000000000001E-2</v>
      </c>
    </row>
    <row r="15" spans="1:16" x14ac:dyDescent="0.3">
      <c r="A15" s="18" t="s">
        <v>183</v>
      </c>
      <c r="B15" s="8"/>
      <c r="C15" s="9" t="s">
        <v>195</v>
      </c>
      <c r="D15" s="20">
        <v>0</v>
      </c>
      <c r="E15" s="20">
        <v>2000</v>
      </c>
      <c r="F15" s="8">
        <v>1</v>
      </c>
      <c r="G15" s="8">
        <v>50</v>
      </c>
      <c r="H15" s="28">
        <f t="shared" si="0"/>
        <v>5.0000000000000001E-4</v>
      </c>
      <c r="I15" s="28">
        <f t="shared" si="1"/>
        <v>2.5000000000000001E-2</v>
      </c>
    </row>
    <row r="16" spans="1:16" x14ac:dyDescent="0.3">
      <c r="A16" s="18" t="s">
        <v>183</v>
      </c>
      <c r="B16" s="8"/>
      <c r="C16" s="9" t="s">
        <v>196</v>
      </c>
      <c r="D16" s="20">
        <v>0</v>
      </c>
      <c r="E16" s="20">
        <v>5000</v>
      </c>
      <c r="F16" s="8">
        <v>1</v>
      </c>
      <c r="G16" s="8">
        <v>50</v>
      </c>
      <c r="H16" s="28">
        <f t="shared" si="0"/>
        <v>2.0000000000000001E-4</v>
      </c>
      <c r="I16" s="28">
        <f t="shared" si="1"/>
        <v>0.01</v>
      </c>
    </row>
    <row r="17" spans="1:12" x14ac:dyDescent="0.3">
      <c r="A17" s="18" t="s">
        <v>183</v>
      </c>
      <c r="B17" s="8"/>
      <c r="C17" s="9" t="s">
        <v>197</v>
      </c>
      <c r="D17" s="20">
        <v>0</v>
      </c>
      <c r="E17" s="20">
        <v>2000</v>
      </c>
      <c r="F17" s="8">
        <v>1</v>
      </c>
      <c r="G17" s="8">
        <v>50</v>
      </c>
      <c r="H17" s="28">
        <f t="shared" si="0"/>
        <v>5.0000000000000001E-4</v>
      </c>
      <c r="I17" s="28">
        <f t="shared" si="1"/>
        <v>2.5000000000000001E-2</v>
      </c>
    </row>
    <row r="21" spans="1:12" x14ac:dyDescent="0.3">
      <c r="C21" s="3" t="s">
        <v>198</v>
      </c>
    </row>
    <row r="22" spans="1:12" x14ac:dyDescent="0.3">
      <c r="A22" s="18" t="s">
        <v>183</v>
      </c>
      <c r="B22" s="8"/>
      <c r="C22" s="9" t="s">
        <v>199</v>
      </c>
      <c r="D22" s="10">
        <f>600*$O$7</f>
        <v>663.58499999999992</v>
      </c>
      <c r="F22" s="4"/>
      <c r="G22" s="4"/>
      <c r="H22" s="4"/>
    </row>
    <row r="23" spans="1:12" ht="28.8" x14ac:dyDescent="0.3">
      <c r="A23" s="18" t="s">
        <v>183</v>
      </c>
      <c r="B23" s="8"/>
      <c r="C23" s="9" t="s">
        <v>200</v>
      </c>
      <c r="D23" s="10">
        <f>2840*$O$7</f>
        <v>3140.9689999999996</v>
      </c>
    </row>
    <row r="24" spans="1:12" ht="28.8" x14ac:dyDescent="0.3">
      <c r="A24" s="18" t="s">
        <v>183</v>
      </c>
      <c r="B24" s="8"/>
      <c r="C24" s="9" t="s">
        <v>200</v>
      </c>
      <c r="D24" s="10">
        <f>E24/F24</f>
        <v>305.55555555555549</v>
      </c>
      <c r="E24" s="6">
        <f>22000*$O$7</f>
        <v>24331.449999999997</v>
      </c>
      <c r="F24">
        <f>72*$O$7</f>
        <v>79.630200000000002</v>
      </c>
      <c r="G24" t="s">
        <v>201</v>
      </c>
    </row>
    <row r="25" spans="1:12" ht="43.2" x14ac:dyDescent="0.3">
      <c r="A25" s="18" t="s">
        <v>183</v>
      </c>
      <c r="B25" s="8"/>
      <c r="C25" s="9" t="s">
        <v>202</v>
      </c>
      <c r="D25" s="10">
        <f>100*$O$7</f>
        <v>110.5975</v>
      </c>
      <c r="G25" t="s">
        <v>203</v>
      </c>
      <c r="K25" s="4" t="s">
        <v>204</v>
      </c>
      <c r="L25" s="29">
        <f>CEILING(SUM(L27:L29)/SUM(K27:K29),10)</f>
        <v>560</v>
      </c>
    </row>
    <row r="26" spans="1:12" x14ac:dyDescent="0.3">
      <c r="A26" s="18" t="s">
        <v>205</v>
      </c>
      <c r="B26" s="8" t="s">
        <v>206</v>
      </c>
      <c r="C26" s="9" t="s">
        <v>207</v>
      </c>
      <c r="D26" s="31">
        <f>L25</f>
        <v>560</v>
      </c>
      <c r="J26" t="s">
        <v>208</v>
      </c>
      <c r="K26" t="s">
        <v>209</v>
      </c>
    </row>
    <row r="27" spans="1:12" ht="28.8" x14ac:dyDescent="0.3">
      <c r="A27" s="18" t="s">
        <v>183</v>
      </c>
      <c r="B27" s="8"/>
      <c r="C27" s="9" t="s">
        <v>210</v>
      </c>
      <c r="D27" s="12">
        <f>4510*$O$7</f>
        <v>4987.9472499999993</v>
      </c>
      <c r="G27" t="s">
        <v>211</v>
      </c>
      <c r="H27" s="30">
        <f>550*$O$7</f>
        <v>608.28625</v>
      </c>
      <c r="I27" s="30">
        <f>850*$O$7</f>
        <v>940.0787499999999</v>
      </c>
      <c r="J27" s="30">
        <f>AVERAGE(H27:I27)</f>
        <v>774.18249999999989</v>
      </c>
      <c r="K27">
        <v>1</v>
      </c>
      <c r="L27" s="30">
        <f>K27*J27</f>
        <v>774.18249999999989</v>
      </c>
    </row>
    <row r="28" spans="1:12" ht="15" customHeight="1" x14ac:dyDescent="0.3">
      <c r="G28" t="s">
        <v>212</v>
      </c>
      <c r="H28" s="30">
        <f>440*$O$7</f>
        <v>486.62899999999996</v>
      </c>
      <c r="I28" s="30">
        <f>770*$O$7</f>
        <v>851.60074999999995</v>
      </c>
      <c r="J28" s="30">
        <f t="shared" ref="J28:J29" si="2">AVERAGE(H28:I28)</f>
        <v>669.11487499999998</v>
      </c>
      <c r="K28">
        <v>10</v>
      </c>
      <c r="L28" s="30">
        <f t="shared" ref="L28:L29" si="3">K28*J28</f>
        <v>6691.1487500000003</v>
      </c>
    </row>
    <row r="29" spans="1:12" ht="27.6" customHeight="1" x14ac:dyDescent="0.3">
      <c r="C29" s="3" t="s">
        <v>213</v>
      </c>
      <c r="G29" t="s">
        <v>214</v>
      </c>
      <c r="H29" s="30">
        <f>330*$O$7</f>
        <v>364.97174999999999</v>
      </c>
      <c r="I29" s="30">
        <f>550*$O$7</f>
        <v>608.28625</v>
      </c>
      <c r="J29" s="30">
        <f t="shared" si="2"/>
        <v>486.62900000000002</v>
      </c>
      <c r="K29">
        <v>20</v>
      </c>
      <c r="L29" s="30">
        <f t="shared" si="3"/>
        <v>9732.58</v>
      </c>
    </row>
    <row r="30" spans="1:12" ht="62.4" x14ac:dyDescent="0.3">
      <c r="A30" s="18" t="s">
        <v>215</v>
      </c>
      <c r="B30" s="8"/>
      <c r="C30" s="9" t="s">
        <v>216</v>
      </c>
      <c r="D30" s="27">
        <v>3.7499999999999999E-2</v>
      </c>
      <c r="E30" s="23" t="s">
        <v>217</v>
      </c>
    </row>
    <row r="31" spans="1:12" x14ac:dyDescent="0.3">
      <c r="A31" s="18" t="s">
        <v>215</v>
      </c>
      <c r="B31" s="8"/>
      <c r="C31" s="9" t="s">
        <v>218</v>
      </c>
      <c r="D31" s="27">
        <v>0.1125</v>
      </c>
      <c r="E31" s="23"/>
    </row>
    <row r="32" spans="1:12" x14ac:dyDescent="0.3">
      <c r="A32" s="18" t="s">
        <v>215</v>
      </c>
      <c r="B32" s="8"/>
      <c r="C32" s="9" t="s">
        <v>219</v>
      </c>
      <c r="D32" s="27">
        <v>7.4999999999999997E-2</v>
      </c>
      <c r="E32" s="23"/>
    </row>
    <row r="33" spans="1:6" x14ac:dyDescent="0.3">
      <c r="A33" s="18" t="s">
        <v>215</v>
      </c>
      <c r="B33" s="8"/>
      <c r="C33" s="9" t="s">
        <v>220</v>
      </c>
      <c r="D33" s="27">
        <v>3.7499999999999999E-2</v>
      </c>
      <c r="E33" s="23"/>
    </row>
    <row r="34" spans="1:6" x14ac:dyDescent="0.3">
      <c r="A34" s="18" t="s">
        <v>215</v>
      </c>
      <c r="B34" s="8"/>
      <c r="C34" s="9" t="s">
        <v>221</v>
      </c>
      <c r="D34" s="27">
        <v>0</v>
      </c>
      <c r="E34" s="23"/>
    </row>
    <row r="36" spans="1:6" x14ac:dyDescent="0.3">
      <c r="C36" s="3" t="s">
        <v>222</v>
      </c>
    </row>
    <row r="37" spans="1:6" x14ac:dyDescent="0.3">
      <c r="A37" s="16" t="s">
        <v>223</v>
      </c>
    </row>
    <row r="38" spans="1:6" x14ac:dyDescent="0.3">
      <c r="A38" s="16" t="s">
        <v>223</v>
      </c>
    </row>
    <row r="40" spans="1:6" x14ac:dyDescent="0.3">
      <c r="C40" s="3" t="s">
        <v>224</v>
      </c>
    </row>
    <row r="41" spans="1:6" ht="28.8" x14ac:dyDescent="0.3">
      <c r="A41" s="18" t="s">
        <v>183</v>
      </c>
      <c r="B41" s="8"/>
      <c r="C41" s="9" t="s">
        <v>92</v>
      </c>
      <c r="D41" s="13">
        <v>0.25</v>
      </c>
    </row>
    <row r="42" spans="1:6" x14ac:dyDescent="0.3">
      <c r="A42" s="18" t="s">
        <v>183</v>
      </c>
      <c r="B42" s="8"/>
      <c r="C42" s="9" t="s">
        <v>144</v>
      </c>
      <c r="D42" s="13">
        <v>0.12</v>
      </c>
    </row>
    <row r="43" spans="1:6" x14ac:dyDescent="0.3">
      <c r="A43" s="18" t="s">
        <v>183</v>
      </c>
      <c r="B43" s="8"/>
      <c r="C43" s="9" t="s">
        <v>225</v>
      </c>
      <c r="D43" s="13">
        <v>7.4999999999999997E-2</v>
      </c>
    </row>
    <row r="44" spans="1:6" x14ac:dyDescent="0.3">
      <c r="A44" s="18" t="s">
        <v>183</v>
      </c>
      <c r="B44" s="8"/>
      <c r="C44" s="9" t="s">
        <v>93</v>
      </c>
      <c r="D44" s="13">
        <v>0.1</v>
      </c>
    </row>
    <row r="45" spans="1:6" x14ac:dyDescent="0.3">
      <c r="A45" s="18" t="s">
        <v>183</v>
      </c>
      <c r="B45" s="8"/>
      <c r="C45" s="9" t="s">
        <v>147</v>
      </c>
      <c r="D45" s="13">
        <v>0.1</v>
      </c>
    </row>
    <row r="46" spans="1:6" x14ac:dyDescent="0.3">
      <c r="A46" s="18" t="s">
        <v>183</v>
      </c>
      <c r="B46" s="8"/>
      <c r="C46" s="9" t="s">
        <v>226</v>
      </c>
      <c r="D46" s="10">
        <v>200</v>
      </c>
      <c r="E46" s="26"/>
      <c r="F46" s="26"/>
    </row>
    <row r="47" spans="1:6" x14ac:dyDescent="0.3">
      <c r="A47" s="18" t="s">
        <v>183</v>
      </c>
      <c r="B47" s="8"/>
      <c r="C47" s="9" t="s">
        <v>227</v>
      </c>
      <c r="D47" s="14">
        <v>2</v>
      </c>
    </row>
    <row r="48" spans="1:6" ht="28.8" x14ac:dyDescent="0.3">
      <c r="A48" s="18" t="s">
        <v>183</v>
      </c>
      <c r="B48" s="8"/>
      <c r="C48" s="9" t="s">
        <v>228</v>
      </c>
      <c r="D48" s="14">
        <v>4</v>
      </c>
    </row>
    <row r="49" spans="1:10" ht="28.8" x14ac:dyDescent="0.3">
      <c r="A49" s="18" t="s">
        <v>183</v>
      </c>
      <c r="B49" s="8"/>
      <c r="C49" s="9" t="s">
        <v>229</v>
      </c>
      <c r="D49" s="14">
        <v>10</v>
      </c>
    </row>
    <row r="50" spans="1:10" ht="28.8" x14ac:dyDescent="0.3">
      <c r="A50" s="18" t="s">
        <v>183</v>
      </c>
      <c r="B50" s="8"/>
      <c r="C50" s="9" t="s">
        <v>230</v>
      </c>
      <c r="D50" s="14">
        <v>10</v>
      </c>
    </row>
    <row r="51" spans="1:10" x14ac:dyDescent="0.3">
      <c r="C51" s="4" t="s">
        <v>98</v>
      </c>
      <c r="D51" s="5">
        <v>0.2</v>
      </c>
      <c r="F51" t="s">
        <v>231</v>
      </c>
      <c r="G51" t="s">
        <v>232</v>
      </c>
      <c r="H51" t="s">
        <v>233</v>
      </c>
      <c r="I51" s="1" t="s">
        <v>234</v>
      </c>
    </row>
    <row r="52" spans="1:10" ht="28.8" x14ac:dyDescent="0.3">
      <c r="C52" s="3" t="s">
        <v>235</v>
      </c>
      <c r="F52" s="21">
        <f>638000*$O$7</f>
        <v>705612.04999999993</v>
      </c>
      <c r="G52" s="21">
        <f>368000*$O$7</f>
        <v>406998.8</v>
      </c>
      <c r="H52" s="21">
        <f>386000*$O$7</f>
        <v>426906.35</v>
      </c>
      <c r="I52" s="22">
        <f>SUM(F52:H52)</f>
        <v>1539517.1999999997</v>
      </c>
      <c r="J52" s="7" t="s">
        <v>236</v>
      </c>
    </row>
    <row r="53" spans="1:10" ht="72" x14ac:dyDescent="0.3">
      <c r="A53" s="18" t="s">
        <v>183</v>
      </c>
      <c r="B53" s="8"/>
      <c r="C53" s="9" t="s">
        <v>237</v>
      </c>
      <c r="D53" s="12">
        <f>I52/I53</f>
        <v>14.165076736226121</v>
      </c>
      <c r="E53" t="s">
        <v>238</v>
      </c>
      <c r="F53" s="21">
        <v>23238</v>
      </c>
      <c r="G53" s="21">
        <v>44328</v>
      </c>
      <c r="H53" s="21">
        <v>41118</v>
      </c>
      <c r="I53" s="22">
        <f>SUM(F53:H53)</f>
        <v>108684</v>
      </c>
      <c r="J53" t="s">
        <v>239</v>
      </c>
    </row>
    <row r="54" spans="1:10" ht="57.6" x14ac:dyDescent="0.3">
      <c r="A54" s="18" t="s">
        <v>183</v>
      </c>
      <c r="B54" s="8"/>
      <c r="C54" s="9" t="s">
        <v>240</v>
      </c>
      <c r="D54" s="12">
        <f>10000*$O$7</f>
        <v>11059.75</v>
      </c>
      <c r="E54" t="s">
        <v>241</v>
      </c>
      <c r="F54" s="21"/>
      <c r="G54" s="21"/>
      <c r="H54" s="21"/>
      <c r="I54" s="22"/>
    </row>
    <row r="55" spans="1:10" x14ac:dyDescent="0.3">
      <c r="A55" s="18" t="s">
        <v>183</v>
      </c>
      <c r="B55" s="8"/>
      <c r="C55" s="9" t="s">
        <v>242</v>
      </c>
      <c r="D55" s="12">
        <f>8000*$O$7</f>
        <v>8847.7999999999993</v>
      </c>
      <c r="E55" t="s">
        <v>241</v>
      </c>
      <c r="F55" s="21"/>
      <c r="G55" s="21"/>
      <c r="H55" s="21"/>
      <c r="I55" s="22"/>
    </row>
    <row r="56" spans="1:10" x14ac:dyDescent="0.3">
      <c r="A56" s="18" t="s">
        <v>183</v>
      </c>
      <c r="B56" s="8"/>
      <c r="C56" s="9" t="s">
        <v>243</v>
      </c>
      <c r="D56" s="12">
        <f>10000*$O$7</f>
        <v>11059.75</v>
      </c>
    </row>
    <row r="57" spans="1:10" x14ac:dyDescent="0.3">
      <c r="A57" s="18" t="s">
        <v>183</v>
      </c>
      <c r="B57" s="8"/>
      <c r="C57" s="9" t="s">
        <v>129</v>
      </c>
      <c r="D57" s="12">
        <f>25000*$O$7</f>
        <v>27649.375</v>
      </c>
    </row>
    <row r="58" spans="1:10" ht="60.6" x14ac:dyDescent="0.3">
      <c r="A58" s="18" t="s">
        <v>244</v>
      </c>
      <c r="B58" s="8"/>
      <c r="C58" s="9" t="s">
        <v>129</v>
      </c>
      <c r="D58" s="12">
        <f>3000*$O$7</f>
        <v>3317.9249999999997</v>
      </c>
      <c r="E58" s="25" t="s">
        <v>245</v>
      </c>
    </row>
    <row r="59" spans="1:10" ht="52.2" x14ac:dyDescent="0.3">
      <c r="A59" s="18" t="s">
        <v>205</v>
      </c>
      <c r="B59" s="24" t="s">
        <v>246</v>
      </c>
      <c r="C59" s="9" t="s">
        <v>129</v>
      </c>
      <c r="D59" s="12">
        <f>15000*$O$7</f>
        <v>16589.625</v>
      </c>
      <c r="E59" s="25" t="s">
        <v>247</v>
      </c>
    </row>
    <row r="60" spans="1:10" x14ac:dyDescent="0.3">
      <c r="A60" s="18"/>
      <c r="B60" s="8"/>
      <c r="C60" s="9"/>
      <c r="D60" s="12"/>
    </row>
    <row r="62" spans="1:10" x14ac:dyDescent="0.3">
      <c r="A62" s="18" t="s">
        <v>248</v>
      </c>
      <c r="B62" s="24"/>
      <c r="C62" s="9" t="s">
        <v>249</v>
      </c>
      <c r="D62" s="217">
        <f>(5000*$O$7)/I53</f>
        <v>5.0880304368628317E-2</v>
      </c>
      <c r="E62" s="25" t="s">
        <v>250</v>
      </c>
    </row>
    <row r="63" spans="1:10" ht="36.6" x14ac:dyDescent="0.3">
      <c r="A63" s="18" t="s">
        <v>251</v>
      </c>
      <c r="B63" s="24" t="s">
        <v>252</v>
      </c>
      <c r="C63" s="9" t="s">
        <v>249</v>
      </c>
      <c r="D63" s="12">
        <v>70000</v>
      </c>
      <c r="E63" s="25" t="s">
        <v>253</v>
      </c>
    </row>
    <row r="64" spans="1:10" x14ac:dyDescent="0.3">
      <c r="A64" s="18" t="s">
        <v>248</v>
      </c>
      <c r="B64" s="24"/>
      <c r="C64" s="9" t="s">
        <v>254</v>
      </c>
      <c r="D64" s="217">
        <f>(5000*$O$7)/I53</f>
        <v>5.0880304368628317E-2</v>
      </c>
      <c r="E64" s="25" t="s">
        <v>250</v>
      </c>
    </row>
  </sheetData>
  <mergeCells count="1">
    <mergeCell ref="D3:G3"/>
  </mergeCells>
  <phoneticPr fontId="4" type="noConversion"/>
  <hyperlinks>
    <hyperlink ref="N4" r:id="rId1" xr:uid="{FD138CA0-D19E-49A5-8105-47AD6C0463E2}"/>
  </hyperlinks>
  <pageMargins left="0.7" right="0.7" top="0.75" bottom="0.75" header="0.3" footer="0.3"/>
  <pageSetup paperSize="9" orientation="portrait" r:id="rId2"/>
  <headerFooter>
    <oddFooter>&amp;L&amp;1#&amp;"Calibri"&amp;10&amp;K000000 -------------------------------------------------------- This document is marked as confidential</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F5EC-F931-450D-8F80-FD944BE14B12}">
  <sheetPr codeName="Sheet10">
    <tabColor rgb="FFFF0000"/>
  </sheetPr>
  <dimension ref="A1:D14"/>
  <sheetViews>
    <sheetView workbookViewId="0">
      <selection activeCell="D24" sqref="D24"/>
    </sheetView>
  </sheetViews>
  <sheetFormatPr defaultRowHeight="14.4" x14ac:dyDescent="0.3"/>
  <cols>
    <col min="1" max="1" width="33.33203125" bestFit="1" customWidth="1"/>
    <col min="2" max="2" width="24.33203125" bestFit="1" customWidth="1"/>
    <col min="3" max="3" width="15.33203125" bestFit="1" customWidth="1"/>
    <col min="4" max="4" width="21.6640625" bestFit="1" customWidth="1"/>
  </cols>
  <sheetData>
    <row r="1" spans="1:4" x14ac:dyDescent="0.3">
      <c r="A1" t="s">
        <v>50</v>
      </c>
      <c r="B1" t="s">
        <v>255</v>
      </c>
      <c r="C1" t="s">
        <v>256</v>
      </c>
      <c r="D1" s="2" t="s">
        <v>257</v>
      </c>
    </row>
    <row r="2" spans="1:4" x14ac:dyDescent="0.3">
      <c r="A2" t="str">
        <f>'Techno-Economic Assumptions'!C5</f>
        <v>Accommodation 1</v>
      </c>
      <c r="B2" t="s">
        <v>258</v>
      </c>
      <c r="C2" t="s">
        <v>84</v>
      </c>
      <c r="D2" s="2" t="s">
        <v>259</v>
      </c>
    </row>
    <row r="3" spans="1:4" x14ac:dyDescent="0.3">
      <c r="A3" t="str">
        <f>'Techno-Economic Assumptions'!C6</f>
        <v>Accommodation 2</v>
      </c>
      <c r="B3" t="s">
        <v>219</v>
      </c>
      <c r="C3" t="s">
        <v>85</v>
      </c>
      <c r="D3" s="2" t="s">
        <v>260</v>
      </c>
    </row>
    <row r="4" spans="1:4" x14ac:dyDescent="0.3">
      <c r="A4" t="str">
        <f>'Techno-Economic Assumptions'!C7</f>
        <v>Accommodation 3</v>
      </c>
      <c r="B4" t="s">
        <v>220</v>
      </c>
      <c r="C4" t="s">
        <v>86</v>
      </c>
      <c r="D4" s="2"/>
    </row>
    <row r="5" spans="1:4" x14ac:dyDescent="0.3">
      <c r="A5" t="str">
        <f>'Techno-Economic Assumptions'!C8</f>
        <v>Plant room (generator)</v>
      </c>
      <c r="B5" t="s">
        <v>221</v>
      </c>
      <c r="D5" s="2"/>
    </row>
    <row r="6" spans="1:4" x14ac:dyDescent="0.3">
      <c r="A6" t="str">
        <f>'Techno-Economic Assumptions'!C9</f>
        <v>Plant room (energy centre)</v>
      </c>
    </row>
    <row r="7" spans="1:4" x14ac:dyDescent="0.3">
      <c r="A7" t="str">
        <f>'Techno-Economic Assumptions'!C10</f>
        <v>Plant room (main boilerhouse)</v>
      </c>
    </row>
    <row r="8" spans="1:4" x14ac:dyDescent="0.3">
      <c r="A8" t="str">
        <f>'Techno-Economic Assumptions'!C11</f>
        <v>Kitchen</v>
      </c>
    </row>
    <row r="9" spans="1:4" x14ac:dyDescent="0.3">
      <c r="A9" t="str">
        <f>'Techno-Economic Assumptions'!C12</f>
        <v>Office 1</v>
      </c>
    </row>
    <row r="10" spans="1:4" x14ac:dyDescent="0.3">
      <c r="A10" t="str">
        <f>'Techno-Economic Assumptions'!C13</f>
        <v>Office 2</v>
      </c>
    </row>
    <row r="11" spans="1:4" x14ac:dyDescent="0.3">
      <c r="A11" t="str">
        <f>'Techno-Economic Assumptions'!C14</f>
        <v>Office 3</v>
      </c>
    </row>
    <row r="12" spans="1:4" x14ac:dyDescent="0.3">
      <c r="A12" t="str">
        <f>'Techno-Economic Assumptions'!C15</f>
        <v>Workshop</v>
      </c>
    </row>
    <row r="13" spans="1:4" x14ac:dyDescent="0.3">
      <c r="A13" t="str">
        <f>'Techno-Economic Assumptions'!C16</f>
        <v>Gym</v>
      </c>
    </row>
    <row r="14" spans="1:4" x14ac:dyDescent="0.3">
      <c r="A14" t="str">
        <f>'Techno-Economic Assumptions'!C17</f>
        <v>Education/Training</v>
      </c>
    </row>
  </sheetData>
  <phoneticPr fontId="4" type="noConversion"/>
  <pageMargins left="0.7" right="0.7" top="0.75" bottom="0.75" header="0.3" footer="0.3"/>
  <pageSetup paperSize="9" orientation="portrait" r:id="rId1"/>
  <headerFooter>
    <oddFooter>&amp;L&amp;1#&amp;"Calibri"&amp;10&amp;K000000 -------------------------------------------------------- This document is marked as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User Notes - Read Me</vt:lpstr>
      <vt:lpstr>Building Breakdown</vt:lpstr>
      <vt:lpstr>Option 1 Cost &amp; Savings</vt:lpstr>
      <vt:lpstr>Option 2 Cost &amp; Savings</vt:lpstr>
      <vt:lpstr>User Data Source Assumptions</vt:lpstr>
      <vt:lpstr>Version Control</vt:lpstr>
      <vt:lpstr>BuildingCategory</vt:lpstr>
      <vt:lpstr>BuildingZones</vt:lpstr>
      <vt:lpstr>StateOfExistingBMS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Tuff</dc:creator>
  <cp:keywords/>
  <dc:description/>
  <cp:lastModifiedBy>David Tomlinson</cp:lastModifiedBy>
  <cp:revision/>
  <dcterms:created xsi:type="dcterms:W3CDTF">2020-04-16T09:33:32Z</dcterms:created>
  <dcterms:modified xsi:type="dcterms:W3CDTF">2023-02-21T09:43:28Z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19938-abdf-4bf9-b36f-6fa56c0e1ffb_Enabled">
    <vt:lpwstr>True</vt:lpwstr>
  </property>
  <property fmtid="{D5CDD505-2E9C-101B-9397-08002B2CF9AE}" pid="3" name="MSIP_Label_dbb19938-abdf-4bf9-b36f-6fa56c0e1ffb_SiteId">
    <vt:lpwstr>532a5fd0-268c-48ff-b181-14740d5d430b</vt:lpwstr>
  </property>
  <property fmtid="{D5CDD505-2E9C-101B-9397-08002B2CF9AE}" pid="4" name="MSIP_Label_dbb19938-abdf-4bf9-b36f-6fa56c0e1ffb_Owner">
    <vt:lpwstr>Tian.Coulsting@es.catapult.org.uk</vt:lpwstr>
  </property>
  <property fmtid="{D5CDD505-2E9C-101B-9397-08002B2CF9AE}" pid="5" name="MSIP_Label_dbb19938-abdf-4bf9-b36f-6fa56c0e1ffb_SetDate">
    <vt:lpwstr>2020-04-21T09:40:53.7588600Z</vt:lpwstr>
  </property>
  <property fmtid="{D5CDD505-2E9C-101B-9397-08002B2CF9AE}" pid="6" name="MSIP_Label_dbb19938-abdf-4bf9-b36f-6fa56c0e1ffb_Name">
    <vt:lpwstr>Confidential</vt:lpwstr>
  </property>
  <property fmtid="{D5CDD505-2E9C-101B-9397-08002B2CF9AE}" pid="7" name="MSIP_Label_dbb19938-abdf-4bf9-b36f-6fa56c0e1ffb_Application">
    <vt:lpwstr>Microsoft Azure Information Protection</vt:lpwstr>
  </property>
  <property fmtid="{D5CDD505-2E9C-101B-9397-08002B2CF9AE}" pid="8" name="MSIP_Label_dbb19938-abdf-4bf9-b36f-6fa56c0e1ffb_ActionId">
    <vt:lpwstr>0baab9b8-bd50-4768-8062-bf389bb70bcd</vt:lpwstr>
  </property>
  <property fmtid="{D5CDD505-2E9C-101B-9397-08002B2CF9AE}" pid="9" name="MSIP_Label_dbb19938-abdf-4bf9-b36f-6fa56c0e1ffb_Extended_MSFT_Method">
    <vt:lpwstr>Automatic</vt:lpwstr>
  </property>
  <property fmtid="{D5CDD505-2E9C-101B-9397-08002B2CF9AE}" pid="10" name="Sensitivity">
    <vt:lpwstr>Confidential</vt:lpwstr>
  </property>
</Properties>
</file>