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codeName="ThisWorkbook" defaultThemeVersion="166925"/>
  <mc:AlternateContent xmlns:mc="http://schemas.openxmlformats.org/markup-compatibility/2006">
    <mc:Choice Requires="x15">
      <x15ac:absPath xmlns:x15ac="http://schemas.microsoft.com/office/spreadsheetml/2010/11/ac" url="C:\Users\dtent\AppData\Local\Huddle\Huddle\Files\5b5f6195-9540-4e12-8295-f43d672014ba\"/>
    </mc:Choice>
  </mc:AlternateContent>
  <xr:revisionPtr revIDLastSave="0" documentId="13_ncr:1_{55A6CAA9-3093-4CDE-A1C1-EFF4CD01CE82}" xr6:coauthVersionLast="47" xr6:coauthVersionMax="47" xr10:uidLastSave="{00000000-0000-0000-0000-000000000000}"/>
  <workbookProtection workbookAlgorithmName="SHA-512" workbookHashValue="Tj4AaK/6fi1Q0WaLG7e8J71w/nPB3ujzJdLFeJc/Z7wNmT/LNUWeOb43BkqP7u9DXL8Dd7SVcpyKoI+rpRqblA==" workbookSaltValue="7ioJXhlN2PEplo4tXUPXjw==" workbookSpinCount="100000" lockStructure="1"/>
  <bookViews>
    <workbookView xWindow="28680" yWindow="-120" windowWidth="29040" windowHeight="15720" activeTab="1" xr2:uid="{16726F4E-F765-40F6-9064-DDAEE433A6C0}"/>
  </bookViews>
  <sheets>
    <sheet name="Cover" sheetId="26" r:id="rId1"/>
    <sheet name="User Notes - Read Me" sheetId="20" r:id="rId2"/>
    <sheet name="Building Breakdown" sheetId="2" r:id="rId3"/>
    <sheet name="Fabric Changes" sheetId="18" r:id="rId4"/>
    <sheet name="User Data Sources Assumptions" sheetId="25" r:id="rId5"/>
    <sheet name="Version Control" sheetId="27" r:id="rId6"/>
    <sheet name="Lists" sheetId="28" state="veryHidden" r:id="rId7"/>
    <sheet name="Model Assumptions" sheetId="5" state="veryHidden" r:id="rId8"/>
    <sheet name="Emission factors" sheetId="29" state="veryHidden" r:id="rId9"/>
    <sheet name="Data Sources" sheetId="22" state="veryHidden" r:id="rId10"/>
    <sheet name="Bees Non-Electric Breakdown" sheetId="23" state="very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2" hidden="1">'Building Breakdown'!$C$24:$AW$71</definedName>
    <definedName name="_xlnm._FilterDatabase" localSheetId="3" hidden="1">'Fabric Changes'!$B$7:$AK$54</definedName>
    <definedName name="AreaUseCategory">[1]Lists!$A$2:$A$4</definedName>
    <definedName name="BeesLightingCategory">[1]Lists!$H$2:$H$5</definedName>
    <definedName name="BeesUseCategory">[1]Lists!$G$2:$G$39</definedName>
    <definedName name="CarParc">[2]!VehParc[[#Headers],[BEV]]</definedName>
    <definedName name="CheckOfChecks_n">#REF!</definedName>
    <definedName name="Choice">[1]Lists!$F$2:$F$4</definedName>
    <definedName name="ConsYr_AR">'Model Assumptions'!$J$8:$Q$13</definedName>
    <definedName name="CPow_Staff_Year1">'[2]Outputs Page'!$C$10</definedName>
    <definedName name="CPow_Staff_Year2">'[2]Outputs Page'!$D$10</definedName>
    <definedName name="CPow_Staff_Year3">'[2]Outputs Page'!$E$10</definedName>
    <definedName name="CPow_Staff_Year4">'[2]Outputs Page'!$F$10</definedName>
    <definedName name="CPow_Visitor_Year1">'[2]Outputs Page'!$C$11</definedName>
    <definedName name="CPow_Visitor_Year2">'[2]Outputs Page'!$D$11</definedName>
    <definedName name="CPow_Visitor_Year3">'[2]Outputs Page'!$E$11</definedName>
    <definedName name="CPow_Visitor_Year4">'[2]Outputs Page'!$F$11</definedName>
    <definedName name="CV_BEV_Weekday_Staff_Year1">[2]!MainCalcs[CV_BEV_Weekday_Staff_Year1]</definedName>
    <definedName name="CV_BEV_Weekday_Staff_Year2">[2]!MainCalcs[CV_BEV_Weekday_Staff_Year2]</definedName>
    <definedName name="CV_BEV_Weekday_Staff_Year3">[2]!MainCalcs[CV_BEV_Weekday_Staff_Year3]</definedName>
    <definedName name="CV_BEV_Weekday_Staff_Year4">[2]!MainCalcs[CV_BEV_Weekday_Staff_Year4]</definedName>
    <definedName name="CV_BEV_Weekday_Visitor_Year1">[2]!MainCalcs[CV_BEV_Weekday_Visitor_Year1]</definedName>
    <definedName name="CV_BEV_Weekday_Visitor_Year2">[2]!MainCalcs[CV_BEV_Weekday_Visitor_Year2]</definedName>
    <definedName name="CV_BEV_Weekday_Visitor_Year3">[2]!MainCalcs[CV_BEV_Weekday_Visitor_Year3]</definedName>
    <definedName name="CV_BEV_Weekday_Visitor_Year4">[2]!MainCalcs[CV_BEV_Weekday_Visitor_Year4]</definedName>
    <definedName name="CV_BEV_Weekend_Staff_Year1">[2]!MainCalcs[CV_BEV_Weekend_Staff_Year1]</definedName>
    <definedName name="CV_BEV_Weekend_Staff_Year2">[2]!MainCalcs[CV_BEV_Weekend_Staff_Year2]</definedName>
    <definedName name="CV_BEV_Weekend_Staff_Year3">[2]!MainCalcs[CV_BEV_Weekend_Staff_Year3]</definedName>
    <definedName name="CV_BEV_Weekend_Staff_Year4">[2]!MainCalcs[CV_BEV_Weekend_Staff_Year4]</definedName>
    <definedName name="CV_BEV_Weekend_Visitor_Year1">[2]!MainCalcs[CV_BEV_Weekend_Visitor_Year1]</definedName>
    <definedName name="CV_BEV_Weekend_Visitor_Year2">[2]!MainCalcs[CV_BEV_Weekend_Visitor_Year2]</definedName>
    <definedName name="CV_BEV_Weekend_Visitor_Year3">[2]!MainCalcs[CV_BEV_Weekend_Visitor_Year3]</definedName>
    <definedName name="CV_BEV_Weekend_Visitor_Year4">[2]!MainCalcs[CV_BEV_Weekend_Visitor_Year4]</definedName>
    <definedName name="CV_PHEV_Weekday_Staff_Year1">[2]!MainCalcs[CV_PHEV_Weekday_Staff_Year1]</definedName>
    <definedName name="CV_PHEV_Weekday_Staff_Year2">[2]!MainCalcs[CV_PHEV_Weekday_Staff_Year2]</definedName>
    <definedName name="CV_PHEV_Weekday_Staff_Year3">[2]!MainCalcs[CV_PHEV_Weekday_Staff_Year3]</definedName>
    <definedName name="CV_PHEV_Weekday_Staff_Year4">[2]!MainCalcs[CV_PHEV_Weekday_Staff_Year4]</definedName>
    <definedName name="CV_PHEV_Weekday_Visitor_Year1">[2]!MainCalcs[CV_PHEV_Weekday_Visitor_Year1]</definedName>
    <definedName name="CV_PHEV_Weekday_Visitor_Year2">[2]!MainCalcs[CV_PHEV_Weekday_Visitor_Year2]</definedName>
    <definedName name="CV_PHEV_Weekday_Visitor_Year3">[2]!MainCalcs[CV_PHEV_Weekday_Visitor_Year3]</definedName>
    <definedName name="CV_PHEV_Weekday_Visitor_Year4">[2]!MainCalcs[CV_PHEV_Weekday_Visitor_Year4]</definedName>
    <definedName name="CV_PHEV_Weekend_Staff_Year1">[2]!MainCalcs[CV_PHEV_Weekend_Staff_Year1]</definedName>
    <definedName name="CV_PHEV_Weekend_Staff_Year2">[2]!MainCalcs[CV_PHEV_Weekend_Staff_Year2]</definedName>
    <definedName name="CV_PHEV_Weekend_Staff_Year3">[2]!MainCalcs[CV_PHEV_Weekend_Staff_Year3]</definedName>
    <definedName name="CV_PHEV_Weekend_Staff_Year4">[2]!MainCalcs[CV_PHEV_Weekend_Staff_Year4]</definedName>
    <definedName name="CV_PHEV_Weekend_Visitor_Year1">[2]!MainCalcs[CV_PHEV_Weekend_Visitor_Year1]</definedName>
    <definedName name="CV_PHEV_Weekend_Visitor_Year2">[2]!MainCalcs[CV_PHEV_Weekend_Visitor_Year2]</definedName>
    <definedName name="CV_PHEV_Weekend_Visitor_Year3">[2]!MainCalcs[CV_PHEV_Weekend_Visitor_Year3]</definedName>
    <definedName name="CV_PHEV_Weekend_Visitor_Year4">[2]!MainCalcs[CV_PHEV_Weekend_Visitor_Year4]</definedName>
    <definedName name="Days">[1]Lists!$E$2:$E$9</definedName>
    <definedName name="Density">[1]Lists!$C$2:$C$6</definedName>
    <definedName name="DistEff_AR">'Model Assumptions'!#REF!</definedName>
    <definedName name="DomResultsDatum">'[3]2ai. Outputs'!$F$36</definedName>
    <definedName name="DomUptakeResultsDatum">'[3]2ai. Outputs'!$ELO$36</definedName>
    <definedName name="ElecNetworkOptions">'[4]Electricity Network'!$L$4:$L$35</definedName>
    <definedName name="EmitEff_AR">'Model Assumptions'!$H$13:$I$48</definedName>
    <definedName name="ExportTable_a">[5]Export!$B$25:$J$29</definedName>
    <definedName name="ExportTableCol_r">[5]Export!$B$25:$J$25</definedName>
    <definedName name="ExportTableRow_c">[5]Export!$C$25:$C$29</definedName>
    <definedName name="FabricOptions">[4]Lists!$K$2:$K$16</definedName>
    <definedName name="Floor_losses">'Model Assumptions'!$C$25</definedName>
    <definedName name="HeatGenfEff_AR">'Model Assumptions'!#REF!</definedName>
    <definedName name="HeatingSystem">[6]Lists!$B$2:$B$12</definedName>
    <definedName name="HeatSystemAll">[4]Lists!$B$2:$B$21</definedName>
    <definedName name="HeatSystemNow">[4]Lists!$B$37:$B$50</definedName>
    <definedName name="Infiltration_ventilation_losses">'Model Assumptions'!$C$24</definedName>
    <definedName name="LampType">[1]Lists!$B$2:$B$6</definedName>
    <definedName name="Levels_a" comment="List of permitted &quot;levels&quot; - of quality, risk, etc">[5]Lists!$B$71:$B$73</definedName>
    <definedName name="LSOAcode">'[3]2ai. Outputs'!$E$7</definedName>
    <definedName name="modelunits_a">[5]Units!$B$48:$G$62</definedName>
    <definedName name="NonDomCal">'[3]2ai. Outputs'!$EPJ$36:$EPJ$4870</definedName>
    <definedName name="NonDomResultsDatum">'[3]2ai. Outputs'!$BGL$36</definedName>
    <definedName name="NonDomUptakeResultsDatum">'[3]2ai. Outputs'!$EHJ$36</definedName>
    <definedName name="NS_Staff_y1">'[2]Inputs Page'!$D$6</definedName>
    <definedName name="NS_Staff_y2">'[2]Inputs Page'!$D$7</definedName>
    <definedName name="NS_Staff_y3">'[2]Inputs Page'!$D$8</definedName>
    <definedName name="NS_Staff_y4">'[2]Inputs Page'!$D$9</definedName>
    <definedName name="NS_Visitor_y1">'[2]Inputs Page'!$E$6</definedName>
    <definedName name="NS_Visitor_y2">'[2]Inputs Page'!$E$7</definedName>
    <definedName name="NS_Visitor_y3">'[2]Inputs Page'!$E$8</definedName>
    <definedName name="NS_Visitor_y4">'[2]Inputs Page'!$E$9</definedName>
    <definedName name="PipeDiameter">[4]Lists!$N$2:$N$7</definedName>
    <definedName name="RicardoQA_a">[5]Lists!$B$79:$C$83</definedName>
    <definedName name="Role_a">[5]Lists!$B$56:$C$65</definedName>
    <definedName name="RoofStyle_AR">'Model Assumptions'!$B$10:$C$11</definedName>
    <definedName name="RunType">'[3]1a. Dashboard'!$C$9</definedName>
    <definedName name="Security_a">[5]Lists!$B$96:$B$100</definedName>
    <definedName name="SheetNameEnd_n">#REF!</definedName>
    <definedName name="SheetNameOrigin_n">#REF!</definedName>
    <definedName name="SheetNames_ad" comment="Dynamic range from Map sheet, based on pointers SheetNameOrigin_n and SheetNameEnd_n">OFFSET(SheetNameOrigin_n,1,0,ROW(SheetNameEnd_n)-ROW(SheetNameOrigin_n)-1,1)</definedName>
    <definedName name="SiteType">[1]Lists!$I$2:$I$5</definedName>
    <definedName name="Status_a">[5]Lists!$B$40:$C$50</definedName>
    <definedName name="Technologies">[4]Lists!$L$2:$L$68</definedName>
    <definedName name="units_a">[5]Units!$I$48:$Q$150</definedName>
    <definedName name="Useage">[1]Lists!$D$2:$D$8</definedName>
    <definedName name="UseCategories">[6]Lists!$A$2:$A$36</definedName>
    <definedName name="UseCategory">[4]Lists!$A$2:$A$43</definedName>
    <definedName name="Users_a">[5]Lists!$B$33:$G$34</definedName>
    <definedName name="WalltoFloor_AR">'Model Assumptions'!$B$4:$C$7</definedName>
    <definedName name="Year1">'[2]Inputs Page'!$C$6</definedName>
    <definedName name="Year2">'[2]Inputs Page'!$C$7</definedName>
    <definedName name="Year3">'[2]Inputs Page'!$C$8</definedName>
    <definedName name="Year4">'[2]Inputs Page'!$C$9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5" l="1"/>
  <c r="D44" i="5"/>
  <c r="E44" i="5"/>
  <c r="F44" i="5"/>
  <c r="G44" i="5"/>
  <c r="J44" i="5"/>
  <c r="I44" i="5"/>
  <c r="H44" i="5"/>
  <c r="K44" i="5" s="1"/>
  <c r="N45" i="5"/>
  <c r="K45" i="5"/>
  <c r="AX26" i="18" l="1"/>
  <c r="AX34" i="18"/>
  <c r="AX42" i="18"/>
  <c r="AX50" i="18"/>
  <c r="AV11" i="18"/>
  <c r="AX11" i="18" s="1"/>
  <c r="AV12" i="18"/>
  <c r="AX12" i="18" s="1"/>
  <c r="AV13" i="18"/>
  <c r="AX13" i="18" s="1"/>
  <c r="AV14" i="18"/>
  <c r="AX14" i="18" s="1"/>
  <c r="AV15" i="18"/>
  <c r="AX15" i="18" s="1"/>
  <c r="AV16" i="18"/>
  <c r="AX16" i="18" s="1"/>
  <c r="AV17" i="18"/>
  <c r="AX17" i="18" s="1"/>
  <c r="AV18" i="18"/>
  <c r="AX18" i="18" s="1"/>
  <c r="AV19" i="18"/>
  <c r="AX19" i="18" s="1"/>
  <c r="AV20" i="18"/>
  <c r="AX20" i="18" s="1"/>
  <c r="AV21" i="18"/>
  <c r="AX21" i="18" s="1"/>
  <c r="AV22" i="18"/>
  <c r="AX22" i="18" s="1"/>
  <c r="AV23" i="18"/>
  <c r="AX23" i="18" s="1"/>
  <c r="AV24" i="18"/>
  <c r="AX24" i="18" s="1"/>
  <c r="AV25" i="18"/>
  <c r="AX25" i="18" s="1"/>
  <c r="AV26" i="18"/>
  <c r="AV27" i="18"/>
  <c r="AX27" i="18" s="1"/>
  <c r="AV28" i="18"/>
  <c r="AX28" i="18" s="1"/>
  <c r="AV29" i="18"/>
  <c r="AX29" i="18" s="1"/>
  <c r="AV30" i="18"/>
  <c r="AX30" i="18" s="1"/>
  <c r="AV31" i="18"/>
  <c r="AX31" i="18" s="1"/>
  <c r="AV32" i="18"/>
  <c r="AX32" i="18" s="1"/>
  <c r="AV33" i="18"/>
  <c r="AX33" i="18" s="1"/>
  <c r="AV34" i="18"/>
  <c r="AV35" i="18"/>
  <c r="AX35" i="18" s="1"/>
  <c r="AV36" i="18"/>
  <c r="AX36" i="18" s="1"/>
  <c r="AV37" i="18"/>
  <c r="AX37" i="18" s="1"/>
  <c r="AV38" i="18"/>
  <c r="AX38" i="18" s="1"/>
  <c r="AV39" i="18"/>
  <c r="AX39" i="18" s="1"/>
  <c r="AV40" i="18"/>
  <c r="AX40" i="18" s="1"/>
  <c r="AV41" i="18"/>
  <c r="AX41" i="18" s="1"/>
  <c r="AV42" i="18"/>
  <c r="AV43" i="18"/>
  <c r="AX43" i="18" s="1"/>
  <c r="AV44" i="18"/>
  <c r="AX44" i="18" s="1"/>
  <c r="AV45" i="18"/>
  <c r="AX45" i="18" s="1"/>
  <c r="AV46" i="18"/>
  <c r="AX46" i="18" s="1"/>
  <c r="AV47" i="18"/>
  <c r="AX47" i="18" s="1"/>
  <c r="AV48" i="18"/>
  <c r="AX48" i="18" s="1"/>
  <c r="AV49" i="18"/>
  <c r="AX49" i="18" s="1"/>
  <c r="AV50" i="18"/>
  <c r="AV51" i="18"/>
  <c r="AX51" i="18" s="1"/>
  <c r="AV52" i="18"/>
  <c r="AX52" i="18" s="1"/>
  <c r="AV53" i="18"/>
  <c r="AX53" i="18" s="1"/>
  <c r="AV54" i="18"/>
  <c r="AX54" i="18" s="1"/>
  <c r="AV55" i="18"/>
  <c r="AX55" i="18" s="1"/>
  <c r="AV56" i="18"/>
  <c r="AX56" i="18" s="1"/>
  <c r="AV57" i="18"/>
  <c r="AX57" i="18" s="1"/>
  <c r="AV58" i="18"/>
  <c r="AX58" i="18" s="1"/>
  <c r="AV59" i="18"/>
  <c r="AX59" i="18" s="1"/>
  <c r="AV60" i="18"/>
  <c r="AX60" i="18" s="1"/>
  <c r="AS10" i="18"/>
  <c r="AU10" i="18" s="1"/>
  <c r="AS11" i="18"/>
  <c r="AU11" i="18" s="1"/>
  <c r="AS12" i="18"/>
  <c r="AU12" i="18" s="1"/>
  <c r="AS13" i="18"/>
  <c r="AU13" i="18" s="1"/>
  <c r="AS14" i="18"/>
  <c r="AU14" i="18" s="1"/>
  <c r="AS15" i="18"/>
  <c r="AU15" i="18" s="1"/>
  <c r="AS16" i="18"/>
  <c r="AU16" i="18" s="1"/>
  <c r="AS17" i="18"/>
  <c r="AU17" i="18" s="1"/>
  <c r="AS18" i="18"/>
  <c r="AU18" i="18" s="1"/>
  <c r="AS19" i="18"/>
  <c r="AU19" i="18" s="1"/>
  <c r="AS20" i="18"/>
  <c r="AU20" i="18" s="1"/>
  <c r="AS21" i="18"/>
  <c r="AU21" i="18" s="1"/>
  <c r="AS22" i="18"/>
  <c r="AU22" i="18" s="1"/>
  <c r="AS23" i="18"/>
  <c r="AU23" i="18" s="1"/>
  <c r="AS24" i="18"/>
  <c r="AU24" i="18" s="1"/>
  <c r="AS25" i="18"/>
  <c r="AU25" i="18" s="1"/>
  <c r="AS26" i="18"/>
  <c r="AU26" i="18" s="1"/>
  <c r="AS27" i="18"/>
  <c r="AU27" i="18" s="1"/>
  <c r="AS28" i="18"/>
  <c r="AU28" i="18" s="1"/>
  <c r="AS29" i="18"/>
  <c r="AU29" i="18" s="1"/>
  <c r="AS30" i="18"/>
  <c r="AU30" i="18" s="1"/>
  <c r="AS31" i="18"/>
  <c r="AU31" i="18" s="1"/>
  <c r="AS32" i="18"/>
  <c r="AU32" i="18" s="1"/>
  <c r="AS33" i="18"/>
  <c r="AU33" i="18" s="1"/>
  <c r="AS34" i="18"/>
  <c r="AU34" i="18" s="1"/>
  <c r="AS35" i="18"/>
  <c r="AU35" i="18" s="1"/>
  <c r="AS36" i="18"/>
  <c r="AU36" i="18" s="1"/>
  <c r="AS37" i="18"/>
  <c r="AU37" i="18" s="1"/>
  <c r="AS38" i="18"/>
  <c r="AU38" i="18" s="1"/>
  <c r="AS39" i="18"/>
  <c r="AU39" i="18" s="1"/>
  <c r="AS40" i="18"/>
  <c r="AU40" i="18" s="1"/>
  <c r="AS41" i="18"/>
  <c r="AU41" i="18" s="1"/>
  <c r="AS42" i="18"/>
  <c r="AU42" i="18" s="1"/>
  <c r="AS43" i="18"/>
  <c r="AU43" i="18" s="1"/>
  <c r="AS44" i="18"/>
  <c r="AU44" i="18" s="1"/>
  <c r="AS45" i="18"/>
  <c r="AU45" i="18" s="1"/>
  <c r="AS46" i="18"/>
  <c r="AU46" i="18" s="1"/>
  <c r="AS47" i="18"/>
  <c r="AU47" i="18" s="1"/>
  <c r="AS48" i="18"/>
  <c r="AU48" i="18" s="1"/>
  <c r="AS49" i="18"/>
  <c r="AU49" i="18" s="1"/>
  <c r="AS50" i="18"/>
  <c r="AU50" i="18" s="1"/>
  <c r="AS51" i="18"/>
  <c r="AU51" i="18" s="1"/>
  <c r="AS52" i="18"/>
  <c r="AU52" i="18" s="1"/>
  <c r="AS53" i="18"/>
  <c r="AU53" i="18" s="1"/>
  <c r="AS54" i="18"/>
  <c r="AU54" i="18" s="1"/>
  <c r="AS55" i="18"/>
  <c r="AU55" i="18" s="1"/>
  <c r="AS56" i="18"/>
  <c r="AU56" i="18" s="1"/>
  <c r="AS57" i="18"/>
  <c r="AU57" i="18" s="1"/>
  <c r="AS58" i="18"/>
  <c r="AU58" i="18" s="1"/>
  <c r="AS59" i="18"/>
  <c r="AU59" i="18" s="1"/>
  <c r="AS60" i="18"/>
  <c r="AU60" i="18" s="1"/>
  <c r="AV9" i="18"/>
  <c r="AX9" i="18" s="1"/>
  <c r="AV8" i="18"/>
  <c r="AX8" i="18" s="1"/>
  <c r="AS8" i="18"/>
  <c r="AU8" i="18" s="1"/>
  <c r="AP9" i="18" l="1"/>
  <c r="AR9" i="18" s="1"/>
  <c r="AP10" i="18"/>
  <c r="AR10" i="18" s="1"/>
  <c r="AP11" i="18"/>
  <c r="AR11" i="18" s="1"/>
  <c r="AP12" i="18"/>
  <c r="AR12" i="18" s="1"/>
  <c r="AP13" i="18"/>
  <c r="AR13" i="18" s="1"/>
  <c r="AP14" i="18"/>
  <c r="AR14" i="18" s="1"/>
  <c r="AP15" i="18"/>
  <c r="AR15" i="18" s="1"/>
  <c r="AP16" i="18"/>
  <c r="AR16" i="18" s="1"/>
  <c r="AP17" i="18"/>
  <c r="AR17" i="18" s="1"/>
  <c r="AP18" i="18"/>
  <c r="AR18" i="18" s="1"/>
  <c r="AP19" i="18"/>
  <c r="AR19" i="18" s="1"/>
  <c r="AP20" i="18"/>
  <c r="AR20" i="18" s="1"/>
  <c r="AP21" i="18"/>
  <c r="AR21" i="18" s="1"/>
  <c r="AP22" i="18"/>
  <c r="AR22" i="18" s="1"/>
  <c r="AP23" i="18"/>
  <c r="AR23" i="18" s="1"/>
  <c r="AP24" i="18"/>
  <c r="AR24" i="18" s="1"/>
  <c r="AP25" i="18"/>
  <c r="AR25" i="18" s="1"/>
  <c r="AP26" i="18"/>
  <c r="AR26" i="18" s="1"/>
  <c r="AP27" i="18"/>
  <c r="AR27" i="18" s="1"/>
  <c r="AP28" i="18"/>
  <c r="AR28" i="18" s="1"/>
  <c r="AP29" i="18"/>
  <c r="AR29" i="18" s="1"/>
  <c r="AP30" i="18"/>
  <c r="AR30" i="18" s="1"/>
  <c r="AP31" i="18"/>
  <c r="AR31" i="18" s="1"/>
  <c r="AP32" i="18"/>
  <c r="AR32" i="18" s="1"/>
  <c r="AP33" i="18"/>
  <c r="AR33" i="18" s="1"/>
  <c r="AP34" i="18"/>
  <c r="AR34" i="18" s="1"/>
  <c r="AP35" i="18"/>
  <c r="AR35" i="18" s="1"/>
  <c r="AP36" i="18"/>
  <c r="AR36" i="18" s="1"/>
  <c r="AP37" i="18"/>
  <c r="AR37" i="18" s="1"/>
  <c r="AP38" i="18"/>
  <c r="AR38" i="18" s="1"/>
  <c r="AP39" i="18"/>
  <c r="AR39" i="18" s="1"/>
  <c r="AP40" i="18"/>
  <c r="AR40" i="18" s="1"/>
  <c r="AP41" i="18"/>
  <c r="AR41" i="18" s="1"/>
  <c r="AP42" i="18"/>
  <c r="AR42" i="18" s="1"/>
  <c r="AP43" i="18"/>
  <c r="AR43" i="18" s="1"/>
  <c r="AP44" i="18"/>
  <c r="AR44" i="18" s="1"/>
  <c r="AP45" i="18"/>
  <c r="AR45" i="18" s="1"/>
  <c r="AP46" i="18"/>
  <c r="AR46" i="18" s="1"/>
  <c r="AP47" i="18"/>
  <c r="AR47" i="18" s="1"/>
  <c r="AP48" i="18"/>
  <c r="AR48" i="18" s="1"/>
  <c r="AP49" i="18"/>
  <c r="AR49" i="18" s="1"/>
  <c r="AP50" i="18"/>
  <c r="AR50" i="18" s="1"/>
  <c r="AP51" i="18"/>
  <c r="AR51" i="18" s="1"/>
  <c r="AP52" i="18"/>
  <c r="AR52" i="18" s="1"/>
  <c r="AP53" i="18"/>
  <c r="AR53" i="18" s="1"/>
  <c r="AP54" i="18"/>
  <c r="AR54" i="18" s="1"/>
  <c r="AP55" i="18"/>
  <c r="AR55" i="18" s="1"/>
  <c r="AP56" i="18"/>
  <c r="AR56" i="18" s="1"/>
  <c r="AP57" i="18"/>
  <c r="AR57" i="18" s="1"/>
  <c r="AP58" i="18"/>
  <c r="AR58" i="18" s="1"/>
  <c r="AP59" i="18"/>
  <c r="AR59" i="18" s="1"/>
  <c r="AP60" i="18"/>
  <c r="AR60" i="18" s="1"/>
  <c r="T24" i="2" l="1"/>
  <c r="AM8" i="18" s="1"/>
  <c r="T25" i="2"/>
  <c r="AM9" i="18" s="1"/>
  <c r="R25" i="2"/>
  <c r="R26" i="2"/>
  <c r="T26" i="2"/>
  <c r="AM10" i="18" s="1"/>
  <c r="R27" i="2"/>
  <c r="T27" i="2"/>
  <c r="AM11" i="18" s="1"/>
  <c r="R28" i="2"/>
  <c r="T28" i="2"/>
  <c r="AM12" i="18" s="1"/>
  <c r="R29" i="2"/>
  <c r="T29" i="2"/>
  <c r="AM13" i="18" s="1"/>
  <c r="R30" i="2"/>
  <c r="T30" i="2"/>
  <c r="AM14" i="18" s="1"/>
  <c r="R31" i="2"/>
  <c r="T31" i="2"/>
  <c r="AM15" i="18" s="1"/>
  <c r="R32" i="2"/>
  <c r="T32" i="2"/>
  <c r="AM16" i="18" s="1"/>
  <c r="R33" i="2"/>
  <c r="T33" i="2"/>
  <c r="AM17" i="18" s="1"/>
  <c r="R34" i="2"/>
  <c r="T34" i="2"/>
  <c r="AM18" i="18" s="1"/>
  <c r="R35" i="2"/>
  <c r="T35" i="2"/>
  <c r="AM19" i="18" s="1"/>
  <c r="R36" i="2"/>
  <c r="T36" i="2"/>
  <c r="AM20" i="18" s="1"/>
  <c r="R37" i="2"/>
  <c r="T37" i="2"/>
  <c r="AM21" i="18" s="1"/>
  <c r="R38" i="2"/>
  <c r="T38" i="2"/>
  <c r="AM22" i="18" s="1"/>
  <c r="R39" i="2"/>
  <c r="T39" i="2"/>
  <c r="R40" i="2"/>
  <c r="T40" i="2"/>
  <c r="R41" i="2"/>
  <c r="T41" i="2"/>
  <c r="AM25" i="18" s="1"/>
  <c r="R42" i="2"/>
  <c r="T42" i="2"/>
  <c r="AM26" i="18" s="1"/>
  <c r="R43" i="2"/>
  <c r="T43" i="2"/>
  <c r="AM27" i="18" s="1"/>
  <c r="R44" i="2"/>
  <c r="T44" i="2"/>
  <c r="AM28" i="18" s="1"/>
  <c r="R45" i="2"/>
  <c r="T45" i="2"/>
  <c r="AM29" i="18" s="1"/>
  <c r="R46" i="2"/>
  <c r="T46" i="2"/>
  <c r="AM30" i="18" s="1"/>
  <c r="R47" i="2"/>
  <c r="T47" i="2"/>
  <c r="AM31" i="18" s="1"/>
  <c r="R48" i="2"/>
  <c r="T48" i="2"/>
  <c r="AM32" i="18" s="1"/>
  <c r="R49" i="2"/>
  <c r="T49" i="2"/>
  <c r="AM33" i="18" s="1"/>
  <c r="R50" i="2"/>
  <c r="T50" i="2"/>
  <c r="AM34" i="18" s="1"/>
  <c r="R51" i="2"/>
  <c r="T51" i="2"/>
  <c r="AM35" i="18" s="1"/>
  <c r="R52" i="2"/>
  <c r="T52" i="2"/>
  <c r="AM36" i="18" s="1"/>
  <c r="R53" i="2"/>
  <c r="T53" i="2"/>
  <c r="AM37" i="18" s="1"/>
  <c r="R54" i="2"/>
  <c r="T54" i="2"/>
  <c r="AM38" i="18" s="1"/>
  <c r="R55" i="2"/>
  <c r="T55" i="2"/>
  <c r="AM39" i="18" s="1"/>
  <c r="R56" i="2"/>
  <c r="T56" i="2"/>
  <c r="AM40" i="18" s="1"/>
  <c r="R57" i="2"/>
  <c r="T57" i="2"/>
  <c r="AM41" i="18" s="1"/>
  <c r="R58" i="2"/>
  <c r="T58" i="2"/>
  <c r="AM42" i="18" s="1"/>
  <c r="R59" i="2"/>
  <c r="T59" i="2"/>
  <c r="R60" i="2"/>
  <c r="T60" i="2"/>
  <c r="R61" i="2"/>
  <c r="T61" i="2"/>
  <c r="AM45" i="18" s="1"/>
  <c r="R62" i="2"/>
  <c r="T62" i="2"/>
  <c r="R63" i="2"/>
  <c r="T63" i="2"/>
  <c r="AM47" i="18" s="1"/>
  <c r="R64" i="2"/>
  <c r="T64" i="2"/>
  <c r="AM48" i="18" s="1"/>
  <c r="R65" i="2"/>
  <c r="T65" i="2"/>
  <c r="AM49" i="18" s="1"/>
  <c r="R66" i="2"/>
  <c r="T66" i="2"/>
  <c r="AM50" i="18" s="1"/>
  <c r="R67" i="2"/>
  <c r="T67" i="2"/>
  <c r="AM51" i="18" s="1"/>
  <c r="R68" i="2"/>
  <c r="T68" i="2"/>
  <c r="R69" i="2"/>
  <c r="T69" i="2"/>
  <c r="R70" i="2"/>
  <c r="T70" i="2"/>
  <c r="R71" i="2"/>
  <c r="T71" i="2"/>
  <c r="R72" i="2"/>
  <c r="T72" i="2"/>
  <c r="R73" i="2"/>
  <c r="T73" i="2"/>
  <c r="R74" i="2"/>
  <c r="T74" i="2"/>
  <c r="R75" i="2"/>
  <c r="T75" i="2"/>
  <c r="R76" i="2"/>
  <c r="T76" i="2"/>
  <c r="Q24" i="2"/>
  <c r="AM23" i="18"/>
  <c r="AM24" i="18"/>
  <c r="AM43" i="18"/>
  <c r="AM44" i="18"/>
  <c r="AM46" i="18"/>
  <c r="AL52" i="18"/>
  <c r="AM52" i="18"/>
  <c r="AN52" i="18"/>
  <c r="AL53" i="18"/>
  <c r="AM53" i="18"/>
  <c r="AN53" i="18"/>
  <c r="AL54" i="18"/>
  <c r="AM54" i="18"/>
  <c r="AN54" i="18"/>
  <c r="AL55" i="18"/>
  <c r="AM55" i="18"/>
  <c r="AN55" i="18"/>
  <c r="AL56" i="18"/>
  <c r="AM56" i="18"/>
  <c r="AN56" i="18"/>
  <c r="AL57" i="18"/>
  <c r="AM57" i="18"/>
  <c r="AN57" i="18"/>
  <c r="AL58" i="18"/>
  <c r="AM58" i="18"/>
  <c r="AN58" i="18"/>
  <c r="AL59" i="18"/>
  <c r="AM59" i="18"/>
  <c r="AN59" i="18"/>
  <c r="AL60" i="18"/>
  <c r="AM60" i="18"/>
  <c r="AN60" i="18"/>
  <c r="D18" i="2"/>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A24" i="2"/>
  <c r="BA50" i="2" l="1"/>
  <c r="BB50" i="2" s="1"/>
  <c r="X50" i="2"/>
  <c r="J34" i="18" s="1"/>
  <c r="W50" i="2"/>
  <c r="I34" i="18" s="1"/>
  <c r="V50" i="2"/>
  <c r="H34" i="18" s="1"/>
  <c r="Q50" i="2"/>
  <c r="S50" i="2" s="1"/>
  <c r="BA49" i="2"/>
  <c r="BB49" i="2" s="1"/>
  <c r="X49" i="2"/>
  <c r="J33" i="18" s="1"/>
  <c r="W49" i="2"/>
  <c r="I33" i="18" s="1"/>
  <c r="V49" i="2"/>
  <c r="H33" i="18" s="1"/>
  <c r="Q49" i="2"/>
  <c r="S49" i="2" s="1"/>
  <c r="BA48" i="2"/>
  <c r="BB48" i="2" s="1"/>
  <c r="X48" i="2"/>
  <c r="J32" i="18" s="1"/>
  <c r="W48" i="2"/>
  <c r="I32" i="18" s="1"/>
  <c r="V48" i="2"/>
  <c r="H32" i="18" s="1"/>
  <c r="Q48" i="2"/>
  <c r="S48" i="2" s="1"/>
  <c r="BA47" i="2"/>
  <c r="BB47" i="2" s="1"/>
  <c r="X47" i="2"/>
  <c r="J31" i="18" s="1"/>
  <c r="W47" i="2"/>
  <c r="I31" i="18" s="1"/>
  <c r="V47" i="2"/>
  <c r="H31" i="18" s="1"/>
  <c r="Q47" i="2"/>
  <c r="S47" i="2" s="1"/>
  <c r="BA46" i="2"/>
  <c r="BB46" i="2" s="1"/>
  <c r="X46" i="2"/>
  <c r="J30" i="18" s="1"/>
  <c r="W46" i="2"/>
  <c r="I30" i="18" s="1"/>
  <c r="V46" i="2"/>
  <c r="H30" i="18" s="1"/>
  <c r="Q46" i="2"/>
  <c r="S46" i="2" s="1"/>
  <c r="BA45" i="2"/>
  <c r="BB45" i="2" s="1"/>
  <c r="X45" i="2"/>
  <c r="J29" i="18" s="1"/>
  <c r="W45" i="2"/>
  <c r="I29" i="18" s="1"/>
  <c r="V45" i="2"/>
  <c r="H29" i="18" s="1"/>
  <c r="Q45" i="2"/>
  <c r="S45" i="2" s="1"/>
  <c r="BA44" i="2"/>
  <c r="BB44" i="2" s="1"/>
  <c r="X44" i="2"/>
  <c r="J28" i="18" s="1"/>
  <c r="W44" i="2"/>
  <c r="I28" i="18" s="1"/>
  <c r="V44" i="2"/>
  <c r="H28" i="18" s="1"/>
  <c r="Q44" i="2"/>
  <c r="S44" i="2" s="1"/>
  <c r="BA43" i="2"/>
  <c r="BB43" i="2" s="1"/>
  <c r="X43" i="2"/>
  <c r="J27" i="18" s="1"/>
  <c r="W43" i="2"/>
  <c r="I27" i="18" s="1"/>
  <c r="V43" i="2"/>
  <c r="H27" i="18" s="1"/>
  <c r="Q43" i="2"/>
  <c r="S43" i="2" s="1"/>
  <c r="BA42" i="2"/>
  <c r="BB42" i="2" s="1"/>
  <c r="X42" i="2"/>
  <c r="J26" i="18" s="1"/>
  <c r="W42" i="2"/>
  <c r="I26" i="18" s="1"/>
  <c r="V42" i="2"/>
  <c r="H26" i="18" s="1"/>
  <c r="Q42" i="2"/>
  <c r="S42" i="2" s="1"/>
  <c r="BA41" i="2"/>
  <c r="BB41" i="2" s="1"/>
  <c r="X41" i="2"/>
  <c r="J25" i="18" s="1"/>
  <c r="W41" i="2"/>
  <c r="I25" i="18" s="1"/>
  <c r="V41" i="2"/>
  <c r="H25" i="18" s="1"/>
  <c r="Q41" i="2"/>
  <c r="S41" i="2" s="1"/>
  <c r="BA40" i="2"/>
  <c r="BB40" i="2" s="1"/>
  <c r="X40" i="2"/>
  <c r="J24" i="18" s="1"/>
  <c r="W40" i="2"/>
  <c r="I24" i="18" s="1"/>
  <c r="V40" i="2"/>
  <c r="H24" i="18" s="1"/>
  <c r="Q40" i="2"/>
  <c r="S40" i="2" s="1"/>
  <c r="BA39" i="2"/>
  <c r="BB39" i="2" s="1"/>
  <c r="X39" i="2"/>
  <c r="J23" i="18" s="1"/>
  <c r="W39" i="2"/>
  <c r="I23" i="18" s="1"/>
  <c r="V39" i="2"/>
  <c r="H23" i="18" s="1"/>
  <c r="Q39" i="2"/>
  <c r="S39" i="2" s="1"/>
  <c r="BA38" i="2"/>
  <c r="BB38" i="2" s="1"/>
  <c r="X38" i="2"/>
  <c r="J22" i="18" s="1"/>
  <c r="W38" i="2"/>
  <c r="I22" i="18" s="1"/>
  <c r="V38" i="2"/>
  <c r="H22" i="18" s="1"/>
  <c r="Q38" i="2"/>
  <c r="S38" i="2" s="1"/>
  <c r="BA37" i="2"/>
  <c r="BB37" i="2" s="1"/>
  <c r="X37" i="2"/>
  <c r="J21" i="18" s="1"/>
  <c r="W37" i="2"/>
  <c r="I21" i="18" s="1"/>
  <c r="V37" i="2"/>
  <c r="H21" i="18" s="1"/>
  <c r="Q37" i="2"/>
  <c r="S37" i="2" s="1"/>
  <c r="BA36" i="2"/>
  <c r="BB36" i="2" s="1"/>
  <c r="X36" i="2"/>
  <c r="J20" i="18" s="1"/>
  <c r="W36" i="2"/>
  <c r="I20" i="18" s="1"/>
  <c r="V36" i="2"/>
  <c r="H20" i="18" s="1"/>
  <c r="Q36" i="2"/>
  <c r="S36" i="2" s="1"/>
  <c r="BA35" i="2"/>
  <c r="BB35" i="2" s="1"/>
  <c r="X35" i="2"/>
  <c r="J19" i="18" s="1"/>
  <c r="W35" i="2"/>
  <c r="I19" i="18" s="1"/>
  <c r="V35" i="2"/>
  <c r="H19" i="18" s="1"/>
  <c r="Q35" i="2"/>
  <c r="S35" i="2" s="1"/>
  <c r="BA34" i="2"/>
  <c r="BB34" i="2" s="1"/>
  <c r="X34" i="2"/>
  <c r="J18" i="18" s="1"/>
  <c r="W34" i="2"/>
  <c r="I18" i="18" s="1"/>
  <c r="V34" i="2"/>
  <c r="H18" i="18" s="1"/>
  <c r="Q34" i="2"/>
  <c r="S34" i="2" s="1"/>
  <c r="BA33" i="2"/>
  <c r="BB33" i="2" s="1"/>
  <c r="X33" i="2"/>
  <c r="J17" i="18" s="1"/>
  <c r="W33" i="2"/>
  <c r="I17" i="18" s="1"/>
  <c r="V33" i="2"/>
  <c r="H17" i="18" s="1"/>
  <c r="Q33" i="2"/>
  <c r="S33" i="2" s="1"/>
  <c r="BA32" i="2"/>
  <c r="BB32" i="2" s="1"/>
  <c r="X32" i="2"/>
  <c r="J16" i="18" s="1"/>
  <c r="W32" i="2"/>
  <c r="I16" i="18" s="1"/>
  <c r="V32" i="2"/>
  <c r="H16" i="18" s="1"/>
  <c r="Q32" i="2"/>
  <c r="S32" i="2" s="1"/>
  <c r="BA31" i="2"/>
  <c r="BB31" i="2" s="1"/>
  <c r="X31" i="2"/>
  <c r="J15" i="18" s="1"/>
  <c r="W31" i="2"/>
  <c r="I15" i="18" s="1"/>
  <c r="V31" i="2"/>
  <c r="H15" i="18" s="1"/>
  <c r="Q31" i="2"/>
  <c r="S31" i="2" s="1"/>
  <c r="BA62" i="2"/>
  <c r="BB62" i="2" s="1"/>
  <c r="X62" i="2"/>
  <c r="J46" i="18" s="1"/>
  <c r="W62" i="2"/>
  <c r="I46" i="18" s="1"/>
  <c r="V62" i="2"/>
  <c r="H46" i="18" s="1"/>
  <c r="Q62" i="2"/>
  <c r="S62" i="2" s="1"/>
  <c r="BA61" i="2"/>
  <c r="BB61" i="2" s="1"/>
  <c r="X61" i="2"/>
  <c r="J45" i="18" s="1"/>
  <c r="W61" i="2"/>
  <c r="I45" i="18" s="1"/>
  <c r="V61" i="2"/>
  <c r="H45" i="18" s="1"/>
  <c r="Q61" i="2"/>
  <c r="S61" i="2" s="1"/>
  <c r="BA60" i="2"/>
  <c r="BB60" i="2" s="1"/>
  <c r="X60" i="2"/>
  <c r="J44" i="18" s="1"/>
  <c r="W60" i="2"/>
  <c r="I44" i="18" s="1"/>
  <c r="V60" i="2"/>
  <c r="H44" i="18" s="1"/>
  <c r="Q60" i="2"/>
  <c r="S60" i="2" s="1"/>
  <c r="BA59" i="2"/>
  <c r="BB59" i="2" s="1"/>
  <c r="X59" i="2"/>
  <c r="J43" i="18" s="1"/>
  <c r="W59" i="2"/>
  <c r="I43" i="18" s="1"/>
  <c r="V59" i="2"/>
  <c r="H43" i="18" s="1"/>
  <c r="Q59" i="2"/>
  <c r="S59" i="2" s="1"/>
  <c r="BA58" i="2"/>
  <c r="BB58" i="2" s="1"/>
  <c r="X58" i="2"/>
  <c r="J42" i="18" s="1"/>
  <c r="W58" i="2"/>
  <c r="I42" i="18" s="1"/>
  <c r="V58" i="2"/>
  <c r="H42" i="18" s="1"/>
  <c r="Q58" i="2"/>
  <c r="S58" i="2" s="1"/>
  <c r="BA57" i="2"/>
  <c r="BB57" i="2" s="1"/>
  <c r="X57" i="2"/>
  <c r="J41" i="18" s="1"/>
  <c r="W57" i="2"/>
  <c r="I41" i="18" s="1"/>
  <c r="V57" i="2"/>
  <c r="H41" i="18" s="1"/>
  <c r="Q57" i="2"/>
  <c r="S57" i="2" s="1"/>
  <c r="BA56" i="2"/>
  <c r="BB56" i="2" s="1"/>
  <c r="X56" i="2"/>
  <c r="J40" i="18" s="1"/>
  <c r="W56" i="2"/>
  <c r="I40" i="18" s="1"/>
  <c r="V56" i="2"/>
  <c r="H40" i="18" s="1"/>
  <c r="Q56" i="2"/>
  <c r="S56" i="2" s="1"/>
  <c r="BA55" i="2"/>
  <c r="BB55" i="2" s="1"/>
  <c r="X55" i="2"/>
  <c r="J39" i="18" s="1"/>
  <c r="W55" i="2"/>
  <c r="I39" i="18" s="1"/>
  <c r="V55" i="2"/>
  <c r="H39" i="18" s="1"/>
  <c r="Q55" i="2"/>
  <c r="S55" i="2" s="1"/>
  <c r="BA54" i="2"/>
  <c r="BB54" i="2" s="1"/>
  <c r="X54" i="2"/>
  <c r="J38" i="18" s="1"/>
  <c r="W54" i="2"/>
  <c r="I38" i="18" s="1"/>
  <c r="V54" i="2"/>
  <c r="H38" i="18" s="1"/>
  <c r="Q54" i="2"/>
  <c r="S54" i="2" s="1"/>
  <c r="BA53" i="2"/>
  <c r="BB53" i="2" s="1"/>
  <c r="X53" i="2"/>
  <c r="J37" i="18" s="1"/>
  <c r="W53" i="2"/>
  <c r="I37" i="18" s="1"/>
  <c r="V53" i="2"/>
  <c r="H37" i="18" s="1"/>
  <c r="Q53" i="2"/>
  <c r="S53" i="2" s="1"/>
  <c r="BA52" i="2"/>
  <c r="BB52" i="2" s="1"/>
  <c r="X52" i="2"/>
  <c r="J36" i="18" s="1"/>
  <c r="W52" i="2"/>
  <c r="I36" i="18" s="1"/>
  <c r="V52" i="2"/>
  <c r="H36" i="18" s="1"/>
  <c r="Q52" i="2"/>
  <c r="S52" i="2" s="1"/>
  <c r="BA51" i="2"/>
  <c r="BB51" i="2" s="1"/>
  <c r="X51" i="2"/>
  <c r="J35" i="18" s="1"/>
  <c r="W51" i="2"/>
  <c r="I35" i="18" s="1"/>
  <c r="V51" i="2"/>
  <c r="H35" i="18" s="1"/>
  <c r="Q51" i="2"/>
  <c r="S51" i="2" s="1"/>
  <c r="BA30" i="2"/>
  <c r="BB30" i="2" s="1"/>
  <c r="X30" i="2"/>
  <c r="J14" i="18" s="1"/>
  <c r="W30" i="2"/>
  <c r="I14" i="18" s="1"/>
  <c r="V30" i="2"/>
  <c r="H14" i="18" s="1"/>
  <c r="Q30" i="2"/>
  <c r="S30" i="2" s="1"/>
  <c r="J45" i="5"/>
  <c r="I45" i="5"/>
  <c r="H45" i="5"/>
  <c r="G45" i="5"/>
  <c r="F45" i="5"/>
  <c r="E45" i="5"/>
  <c r="D45" i="5"/>
  <c r="X76" i="2"/>
  <c r="J60" i="18" s="1"/>
  <c r="W76" i="2"/>
  <c r="I60" i="18" s="1"/>
  <c r="V76" i="2"/>
  <c r="H60" i="18" s="1"/>
  <c r="Q76" i="2"/>
  <c r="S76" i="2" s="1"/>
  <c r="X75" i="2"/>
  <c r="J59" i="18" s="1"/>
  <c r="W75" i="2"/>
  <c r="I59" i="18" s="1"/>
  <c r="V75" i="2"/>
  <c r="H59" i="18" s="1"/>
  <c r="M59" i="18" s="1"/>
  <c r="Y59" i="18" s="1"/>
  <c r="Q75" i="2"/>
  <c r="S75" i="2" s="1"/>
  <c r="U75" i="2" s="1"/>
  <c r="X74" i="2"/>
  <c r="J58" i="18" s="1"/>
  <c r="W74" i="2"/>
  <c r="I58" i="18" s="1"/>
  <c r="V74" i="2"/>
  <c r="H58" i="18" s="1"/>
  <c r="N58" i="18" s="1"/>
  <c r="Z58" i="18" s="1"/>
  <c r="Q74" i="2"/>
  <c r="S74" i="2" s="1"/>
  <c r="U74" i="2" s="1"/>
  <c r="X73" i="2"/>
  <c r="J57" i="18" s="1"/>
  <c r="W73" i="2"/>
  <c r="I57" i="18" s="1"/>
  <c r="V73" i="2"/>
  <c r="H57" i="18" s="1"/>
  <c r="Q73" i="2"/>
  <c r="S73" i="2" s="1"/>
  <c r="U73" i="2" s="1"/>
  <c r="X72" i="2"/>
  <c r="J56" i="18" s="1"/>
  <c r="W72" i="2"/>
  <c r="I56" i="18" s="1"/>
  <c r="V72" i="2"/>
  <c r="H56" i="18" s="1"/>
  <c r="T56" i="18" s="1"/>
  <c r="AF56" i="18" s="1"/>
  <c r="Q72" i="2"/>
  <c r="S72" i="2" s="1"/>
  <c r="U72" i="2" s="1"/>
  <c r="X71" i="2"/>
  <c r="J55" i="18" s="1"/>
  <c r="W71" i="2"/>
  <c r="I55" i="18" s="1"/>
  <c r="V71" i="2"/>
  <c r="H55" i="18" s="1"/>
  <c r="R55" i="18" s="1"/>
  <c r="AD55" i="18" s="1"/>
  <c r="Q71" i="2"/>
  <c r="S71" i="2" s="1"/>
  <c r="U71" i="2" s="1"/>
  <c r="X70" i="2"/>
  <c r="J54" i="18" s="1"/>
  <c r="W70" i="2"/>
  <c r="I54" i="18" s="1"/>
  <c r="V70" i="2"/>
  <c r="H54" i="18" s="1"/>
  <c r="M54" i="18" s="1"/>
  <c r="Y54" i="18" s="1"/>
  <c r="Q70" i="2"/>
  <c r="S70" i="2" s="1"/>
  <c r="U70" i="2" s="1"/>
  <c r="X69" i="2"/>
  <c r="J53" i="18" s="1"/>
  <c r="W69" i="2"/>
  <c r="I53" i="18" s="1"/>
  <c r="V69" i="2"/>
  <c r="H53" i="18" s="1"/>
  <c r="S53" i="18" s="1"/>
  <c r="AE53" i="18" s="1"/>
  <c r="Q69" i="2"/>
  <c r="S69" i="2" s="1"/>
  <c r="U69" i="2" s="1"/>
  <c r="X68" i="2"/>
  <c r="J52" i="18" s="1"/>
  <c r="W68" i="2"/>
  <c r="I52" i="18" s="1"/>
  <c r="V68" i="2"/>
  <c r="H52" i="18" s="1"/>
  <c r="M52" i="18" s="1"/>
  <c r="Y52" i="18" s="1"/>
  <c r="Q68" i="2"/>
  <c r="S68" i="2" s="1"/>
  <c r="U68" i="2" s="1"/>
  <c r="X67" i="2"/>
  <c r="J51" i="18" s="1"/>
  <c r="W67" i="2"/>
  <c r="I51" i="18" s="1"/>
  <c r="V67" i="2"/>
  <c r="H51" i="18" s="1"/>
  <c r="Q67" i="2"/>
  <c r="S67" i="2" s="1"/>
  <c r="X66" i="2"/>
  <c r="J50" i="18" s="1"/>
  <c r="W66" i="2"/>
  <c r="I50" i="18" s="1"/>
  <c r="V66" i="2"/>
  <c r="H50" i="18" s="1"/>
  <c r="Q66" i="2"/>
  <c r="S66" i="2" s="1"/>
  <c r="X65" i="2"/>
  <c r="J49" i="18" s="1"/>
  <c r="W65" i="2"/>
  <c r="I49" i="18" s="1"/>
  <c r="V65" i="2"/>
  <c r="H49" i="18" s="1"/>
  <c r="Q65" i="2"/>
  <c r="S65" i="2" s="1"/>
  <c r="X64" i="2"/>
  <c r="J48" i="18" s="1"/>
  <c r="W64" i="2"/>
  <c r="I48" i="18" s="1"/>
  <c r="V64" i="2"/>
  <c r="H48" i="18" s="1"/>
  <c r="Q64" i="2"/>
  <c r="S64" i="2" s="1"/>
  <c r="X63" i="2"/>
  <c r="J47" i="18" s="1"/>
  <c r="W63" i="2"/>
  <c r="I47" i="18" s="1"/>
  <c r="V63" i="2"/>
  <c r="H47" i="18" s="1"/>
  <c r="Q63" i="2"/>
  <c r="S63" i="2" s="1"/>
  <c r="X29" i="2"/>
  <c r="J13" i="18" s="1"/>
  <c r="W29" i="2"/>
  <c r="I13" i="18" s="1"/>
  <c r="V29" i="2"/>
  <c r="H13" i="18" s="1"/>
  <c r="Q29" i="2"/>
  <c r="S29" i="2" s="1"/>
  <c r="X28" i="2"/>
  <c r="J12" i="18" s="1"/>
  <c r="W28" i="2"/>
  <c r="I12" i="18" s="1"/>
  <c r="V28" i="2"/>
  <c r="H12" i="18" s="1"/>
  <c r="Q28" i="2"/>
  <c r="S28" i="2" s="1"/>
  <c r="X27" i="2"/>
  <c r="J11" i="18" s="1"/>
  <c r="W27" i="2"/>
  <c r="I11" i="18" s="1"/>
  <c r="V27" i="2"/>
  <c r="H11" i="18" s="1"/>
  <c r="Q27" i="2"/>
  <c r="S27" i="2" s="1"/>
  <c r="X26" i="2"/>
  <c r="J10" i="18" s="1"/>
  <c r="W26" i="2"/>
  <c r="I10" i="18" s="1"/>
  <c r="V26" i="2"/>
  <c r="H10" i="18" s="1"/>
  <c r="Q26" i="2"/>
  <c r="S26" i="2" s="1"/>
  <c r="X25" i="2"/>
  <c r="J9" i="18" s="1"/>
  <c r="W25" i="2"/>
  <c r="I9" i="18" s="1"/>
  <c r="V25" i="2"/>
  <c r="H9" i="18" s="1"/>
  <c r="Q25" i="2"/>
  <c r="S25" i="2" s="1"/>
  <c r="BA76" i="2"/>
  <c r="BB76" i="2" s="1"/>
  <c r="BA75" i="2"/>
  <c r="BB75" i="2" s="1"/>
  <c r="BA74" i="2"/>
  <c r="BB74" i="2" s="1"/>
  <c r="BA73" i="2"/>
  <c r="BB73" i="2" s="1"/>
  <c r="BA72" i="2"/>
  <c r="BB72" i="2" s="1"/>
  <c r="BA71" i="2"/>
  <c r="BB71" i="2" s="1"/>
  <c r="BA70" i="2"/>
  <c r="BB70" i="2" s="1"/>
  <c r="BA69" i="2"/>
  <c r="BB69" i="2" s="1"/>
  <c r="BA68" i="2"/>
  <c r="BB68" i="2" s="1"/>
  <c r="BA67" i="2"/>
  <c r="BB67" i="2" s="1"/>
  <c r="BA66" i="2"/>
  <c r="BB66" i="2" s="1"/>
  <c r="BA65" i="2"/>
  <c r="BB65" i="2" s="1"/>
  <c r="BA64" i="2"/>
  <c r="BB64" i="2" s="1"/>
  <c r="BA63" i="2"/>
  <c r="BB63" i="2" s="1"/>
  <c r="BA29" i="2"/>
  <c r="BB29" i="2" s="1"/>
  <c r="BA28" i="2"/>
  <c r="BB28" i="2" s="1"/>
  <c r="BA27" i="2"/>
  <c r="BB27" i="2" s="1"/>
  <c r="BA26" i="2"/>
  <c r="BB26" i="2" s="1"/>
  <c r="BA25" i="2"/>
  <c r="BB25" i="2" s="1"/>
  <c r="M56" i="18" l="1"/>
  <c r="Y56" i="18" s="1"/>
  <c r="N55" i="18"/>
  <c r="Z55" i="18" s="1"/>
  <c r="S59" i="18"/>
  <c r="AE59" i="18" s="1"/>
  <c r="L54" i="18"/>
  <c r="X54" i="18" s="1"/>
  <c r="R54" i="18"/>
  <c r="AD54" i="18" s="1"/>
  <c r="V55" i="18"/>
  <c r="AH55" i="18" s="1"/>
  <c r="S56" i="18"/>
  <c r="AE56" i="18" s="1"/>
  <c r="R53" i="18"/>
  <c r="AD53" i="18" s="1"/>
  <c r="R59" i="18"/>
  <c r="AD59" i="18" s="1"/>
  <c r="K53" i="18"/>
  <c r="W53" i="18" s="1"/>
  <c r="S54" i="18"/>
  <c r="AE54" i="18" s="1"/>
  <c r="Q53" i="18"/>
  <c r="AC53" i="18" s="1"/>
  <c r="O58" i="18"/>
  <c r="AA58" i="18" s="1"/>
  <c r="O55" i="18"/>
  <c r="AA55" i="18" s="1"/>
  <c r="T57" i="18"/>
  <c r="AF57" i="18" s="1"/>
  <c r="V59" i="18"/>
  <c r="AH59" i="18" s="1"/>
  <c r="M58" i="18"/>
  <c r="Y58" i="18" s="1"/>
  <c r="K56" i="18"/>
  <c r="W56" i="18" s="1"/>
  <c r="U54" i="18"/>
  <c r="AG54" i="18" s="1"/>
  <c r="Q60" i="18"/>
  <c r="AC60" i="18" s="1"/>
  <c r="Q59" i="18"/>
  <c r="AC59" i="18" s="1"/>
  <c r="R52" i="18"/>
  <c r="AD52" i="18" s="1"/>
  <c r="K54" i="18"/>
  <c r="W54" i="18" s="1"/>
  <c r="O54" i="18"/>
  <c r="AA54" i="18" s="1"/>
  <c r="P54" i="18"/>
  <c r="AB54" i="18" s="1"/>
  <c r="U57" i="18"/>
  <c r="AG57" i="18" s="1"/>
  <c r="O59" i="18"/>
  <c r="AA59" i="18" s="1"/>
  <c r="Q57" i="18"/>
  <c r="AC57" i="18" s="1"/>
  <c r="U58" i="18"/>
  <c r="AG58" i="18" s="1"/>
  <c r="R56" i="18"/>
  <c r="AD56" i="18" s="1"/>
  <c r="M55" i="18"/>
  <c r="Y55" i="18" s="1"/>
  <c r="P52" i="18"/>
  <c r="AB52" i="18" s="1"/>
  <c r="O53" i="18"/>
  <c r="AA53" i="18" s="1"/>
  <c r="Q52" i="18"/>
  <c r="AC52" i="18" s="1"/>
  <c r="Q54" i="18"/>
  <c r="AC54" i="18" s="1"/>
  <c r="K52" i="18"/>
  <c r="W52" i="18" s="1"/>
  <c r="S55" i="18"/>
  <c r="AE55" i="18" s="1"/>
  <c r="P55" i="18"/>
  <c r="AB55" i="18" s="1"/>
  <c r="N54" i="18"/>
  <c r="Z54" i="18" s="1"/>
  <c r="T59" i="18"/>
  <c r="AF59" i="18" s="1"/>
  <c r="L55" i="18"/>
  <c r="X55" i="18" s="1"/>
  <c r="Q55" i="18"/>
  <c r="AC55" i="18" s="1"/>
  <c r="S57" i="18"/>
  <c r="AE57" i="18" s="1"/>
  <c r="T55" i="18"/>
  <c r="AF55" i="18" s="1"/>
  <c r="U53" i="18"/>
  <c r="AG53" i="18" s="1"/>
  <c r="V53" i="18"/>
  <c r="AH53" i="18" s="1"/>
  <c r="O52" i="18"/>
  <c r="AA52" i="18" s="1"/>
  <c r="K55" i="18"/>
  <c r="W55" i="18" s="1"/>
  <c r="L52" i="18"/>
  <c r="X52" i="18" s="1"/>
  <c r="M57" i="18"/>
  <c r="Y57" i="18" s="1"/>
  <c r="P56" i="18"/>
  <c r="AB56" i="18" s="1"/>
  <c r="L56" i="18"/>
  <c r="X56" i="18" s="1"/>
  <c r="P53" i="18"/>
  <c r="AB53" i="18" s="1"/>
  <c r="R58" i="18"/>
  <c r="AD58" i="18" s="1"/>
  <c r="U76" i="2"/>
  <c r="O60" i="18" s="1"/>
  <c r="AA60" i="18" s="1"/>
  <c r="U60" i="18"/>
  <c r="AG60" i="18" s="1"/>
  <c r="V56" i="18"/>
  <c r="AH56" i="18" s="1"/>
  <c r="K57" i="18"/>
  <c r="W57" i="18" s="1"/>
  <c r="P58" i="18"/>
  <c r="AB58" i="18" s="1"/>
  <c r="V54" i="18"/>
  <c r="AH54" i="18" s="1"/>
  <c r="N53" i="18"/>
  <c r="Z53" i="18" s="1"/>
  <c r="V52" i="18"/>
  <c r="AH52" i="18" s="1"/>
  <c r="O56" i="18"/>
  <c r="AA56" i="18" s="1"/>
  <c r="T52" i="18"/>
  <c r="AF52" i="18" s="1"/>
  <c r="V58" i="18"/>
  <c r="AH58" i="18" s="1"/>
  <c r="Q58" i="18"/>
  <c r="AC58" i="18" s="1"/>
  <c r="L58" i="18"/>
  <c r="X58" i="18" s="1"/>
  <c r="S58" i="18"/>
  <c r="AE58" i="18" s="1"/>
  <c r="N59" i="18"/>
  <c r="Z59" i="18" s="1"/>
  <c r="K60" i="18"/>
  <c r="W60" i="18" s="1"/>
  <c r="U55" i="18"/>
  <c r="AG55" i="18" s="1"/>
  <c r="N56" i="18"/>
  <c r="Z56" i="18" s="1"/>
  <c r="R57" i="18"/>
  <c r="AD57" i="18" s="1"/>
  <c r="P59" i="18"/>
  <c r="AB59" i="18" s="1"/>
  <c r="L57" i="18"/>
  <c r="X57" i="18" s="1"/>
  <c r="T53" i="18"/>
  <c r="AF53" i="18" s="1"/>
  <c r="N52" i="18"/>
  <c r="Z52" i="18" s="1"/>
  <c r="N57" i="18"/>
  <c r="Z57" i="18" s="1"/>
  <c r="O57" i="18"/>
  <c r="AA57" i="18" s="1"/>
  <c r="S60" i="18"/>
  <c r="AE60" i="18" s="1"/>
  <c r="Q56" i="18"/>
  <c r="AC56" i="18" s="1"/>
  <c r="K59" i="18"/>
  <c r="W59" i="18" s="1"/>
  <c r="L59" i="18"/>
  <c r="X59" i="18" s="1"/>
  <c r="V57" i="18"/>
  <c r="AH57" i="18" s="1"/>
  <c r="T58" i="18"/>
  <c r="AF58" i="18" s="1"/>
  <c r="U56" i="18"/>
  <c r="AG56" i="18" s="1"/>
  <c r="P57" i="18"/>
  <c r="AB57" i="18" s="1"/>
  <c r="M60" i="18"/>
  <c r="Y60" i="18" s="1"/>
  <c r="U59" i="18"/>
  <c r="AG59" i="18" s="1"/>
  <c r="L53" i="18"/>
  <c r="X53" i="18" s="1"/>
  <c r="T54" i="18"/>
  <c r="AF54" i="18" s="1"/>
  <c r="R60" i="18"/>
  <c r="AD60" i="18" s="1"/>
  <c r="K58" i="18"/>
  <c r="W58" i="18" s="1"/>
  <c r="M53" i="18"/>
  <c r="Y53" i="18" s="1"/>
  <c r="S52" i="18"/>
  <c r="AE52" i="18" s="1"/>
  <c r="T60" i="18"/>
  <c r="AF60" i="18" s="1"/>
  <c r="U52" i="18"/>
  <c r="AG52" i="18" s="1"/>
  <c r="L60" i="18"/>
  <c r="X60" i="18" s="1"/>
  <c r="U53" i="2"/>
  <c r="N37" i="18" s="1"/>
  <c r="Z37" i="18" s="1"/>
  <c r="AL37" i="18"/>
  <c r="U61" i="2"/>
  <c r="K45" i="18" s="1"/>
  <c r="W45" i="18" s="1"/>
  <c r="AL45" i="18"/>
  <c r="U26" i="2"/>
  <c r="AN10" i="18" s="1"/>
  <c r="AL10" i="18"/>
  <c r="U28" i="2"/>
  <c r="AN12" i="18" s="1"/>
  <c r="AL12" i="18"/>
  <c r="U63" i="2"/>
  <c r="P47" i="18" s="1"/>
  <c r="AB47" i="18" s="1"/>
  <c r="AL47" i="18"/>
  <c r="U65" i="2"/>
  <c r="N49" i="18" s="1"/>
  <c r="Z49" i="18" s="1"/>
  <c r="AL49" i="18"/>
  <c r="U67" i="2"/>
  <c r="AN51" i="18" s="1"/>
  <c r="AL51" i="18"/>
  <c r="U30" i="2"/>
  <c r="AL14" i="18"/>
  <c r="U58" i="2"/>
  <c r="U42" i="18" s="1"/>
  <c r="AG42" i="18" s="1"/>
  <c r="AL42" i="18"/>
  <c r="U34" i="2"/>
  <c r="T18" i="18" s="1"/>
  <c r="AF18" i="18" s="1"/>
  <c r="AL18" i="18"/>
  <c r="U42" i="2"/>
  <c r="R26" i="18" s="1"/>
  <c r="AD26" i="18" s="1"/>
  <c r="AL26" i="18"/>
  <c r="U50" i="2"/>
  <c r="AH50" i="2" s="1"/>
  <c r="AT50" i="2" s="1"/>
  <c r="AL34" i="18"/>
  <c r="U37" i="2"/>
  <c r="P21" i="18" s="1"/>
  <c r="AB21" i="18" s="1"/>
  <c r="AL21" i="18"/>
  <c r="U45" i="2"/>
  <c r="N29" i="18" s="1"/>
  <c r="Z29" i="18" s="1"/>
  <c r="AL29" i="18"/>
  <c r="U55" i="2"/>
  <c r="AN39" i="18" s="1"/>
  <c r="AL39" i="18"/>
  <c r="U31" i="2"/>
  <c r="AN15" i="18" s="1"/>
  <c r="AL15" i="18"/>
  <c r="U39" i="2"/>
  <c r="AN23" i="18" s="1"/>
  <c r="AL23" i="18"/>
  <c r="U47" i="2"/>
  <c r="AN31" i="18" s="1"/>
  <c r="AL31" i="18"/>
  <c r="U33" i="2"/>
  <c r="P17" i="18" s="1"/>
  <c r="AB17" i="18" s="1"/>
  <c r="AL17" i="18"/>
  <c r="U41" i="2"/>
  <c r="P25" i="18" s="1"/>
  <c r="AB25" i="18" s="1"/>
  <c r="AL25" i="18"/>
  <c r="U49" i="2"/>
  <c r="Q33" i="18" s="1"/>
  <c r="AC33" i="18" s="1"/>
  <c r="AL33" i="18"/>
  <c r="U44" i="2"/>
  <c r="AN28" i="18" s="1"/>
  <c r="AL28" i="18"/>
  <c r="U25" i="2"/>
  <c r="AN9" i="18" s="1"/>
  <c r="AL9" i="18"/>
  <c r="U27" i="2"/>
  <c r="AN11" i="18" s="1"/>
  <c r="AL11" i="18"/>
  <c r="U29" i="2"/>
  <c r="AN13" i="18" s="1"/>
  <c r="AL13" i="18"/>
  <c r="U64" i="2"/>
  <c r="AN48" i="18" s="1"/>
  <c r="AL48" i="18"/>
  <c r="U66" i="2"/>
  <c r="AN50" i="18" s="1"/>
  <c r="AL50" i="18"/>
  <c r="U54" i="2"/>
  <c r="V38" i="18" s="1"/>
  <c r="AH38" i="18" s="1"/>
  <c r="AL38" i="18"/>
  <c r="U62" i="2"/>
  <c r="Q46" i="18" s="1"/>
  <c r="AC46" i="18" s="1"/>
  <c r="AL46" i="18"/>
  <c r="U38" i="2"/>
  <c r="N22" i="18" s="1"/>
  <c r="Z22" i="18" s="1"/>
  <c r="AL22" i="18"/>
  <c r="U46" i="2"/>
  <c r="R30" i="18" s="1"/>
  <c r="AD30" i="18" s="1"/>
  <c r="AL30" i="18"/>
  <c r="U52" i="2"/>
  <c r="AN36" i="18" s="1"/>
  <c r="AL36" i="18"/>
  <c r="U60" i="2"/>
  <c r="AN44" i="18" s="1"/>
  <c r="AL44" i="18"/>
  <c r="U36" i="2"/>
  <c r="AN20" i="18" s="1"/>
  <c r="AL20" i="18"/>
  <c r="U57" i="2"/>
  <c r="P41" i="18" s="1"/>
  <c r="AB41" i="18" s="1"/>
  <c r="AL41" i="18"/>
  <c r="U51" i="2"/>
  <c r="L35" i="18" s="1"/>
  <c r="X35" i="18" s="1"/>
  <c r="AL35" i="18"/>
  <c r="U59" i="2"/>
  <c r="AN43" i="18" s="1"/>
  <c r="AL43" i="18"/>
  <c r="U35" i="2"/>
  <c r="O19" i="18" s="1"/>
  <c r="AA19" i="18" s="1"/>
  <c r="AL19" i="18"/>
  <c r="U43" i="2"/>
  <c r="K27" i="18" s="1"/>
  <c r="W27" i="18" s="1"/>
  <c r="AL27" i="18"/>
  <c r="U56" i="2"/>
  <c r="AN40" i="18" s="1"/>
  <c r="AL40" i="18"/>
  <c r="U32" i="2"/>
  <c r="V16" i="18" s="1"/>
  <c r="AH16" i="18" s="1"/>
  <c r="AL16" i="18"/>
  <c r="U40" i="2"/>
  <c r="U24" i="18" s="1"/>
  <c r="AG24" i="18" s="1"/>
  <c r="AL24" i="18"/>
  <c r="U48" i="2"/>
  <c r="T32" i="18" s="1"/>
  <c r="AF32" i="18" s="1"/>
  <c r="AL32" i="18"/>
  <c r="AO53" i="18"/>
  <c r="AO52" i="18"/>
  <c r="AC58" i="2"/>
  <c r="AO58" i="2" s="1"/>
  <c r="AC73" i="2"/>
  <c r="AO73" i="2" s="1"/>
  <c r="AC72" i="2"/>
  <c r="AO72" i="2" s="1"/>
  <c r="AF76" i="2"/>
  <c r="AR76" i="2" s="1"/>
  <c r="AF71" i="2"/>
  <c r="AR71" i="2" s="1"/>
  <c r="AC75" i="2"/>
  <c r="AO75" i="2" s="1"/>
  <c r="AJ70" i="2"/>
  <c r="AV70" i="2" s="1"/>
  <c r="AF74" i="2"/>
  <c r="AR74" i="2" s="1"/>
  <c r="AI65" i="2"/>
  <c r="AU65" i="2" s="1"/>
  <c r="R43" i="18" l="1"/>
  <c r="AD43" i="18" s="1"/>
  <c r="M43" i="18"/>
  <c r="Y43" i="18" s="1"/>
  <c r="L47" i="18"/>
  <c r="X47" i="18" s="1"/>
  <c r="N51" i="18"/>
  <c r="Z51" i="18" s="1"/>
  <c r="AG67" i="2"/>
  <c r="AS67" i="2" s="1"/>
  <c r="L51" i="18"/>
  <c r="X51" i="18" s="1"/>
  <c r="AB61" i="2"/>
  <c r="AN61" i="2" s="1"/>
  <c r="R40" i="18"/>
  <c r="AD40" i="18" s="1"/>
  <c r="O45" i="18"/>
  <c r="AA45" i="18" s="1"/>
  <c r="U43" i="18"/>
  <c r="AG43" i="18" s="1"/>
  <c r="S46" i="18"/>
  <c r="AE46" i="18" s="1"/>
  <c r="K47" i="18"/>
  <c r="W47" i="18" s="1"/>
  <c r="Q45" i="18"/>
  <c r="AC45" i="18" s="1"/>
  <c r="P51" i="18"/>
  <c r="AB51" i="18" s="1"/>
  <c r="P60" i="18"/>
  <c r="AB60" i="18" s="1"/>
  <c r="L42" i="18"/>
  <c r="X42" i="18" s="1"/>
  <c r="S34" i="18"/>
  <c r="AE34" i="18" s="1"/>
  <c r="O44" i="18"/>
  <c r="AA44" i="18" s="1"/>
  <c r="M40" i="18"/>
  <c r="Y40" i="18" s="1"/>
  <c r="V45" i="18"/>
  <c r="AH45" i="18" s="1"/>
  <c r="Q51" i="18"/>
  <c r="AC51" i="18" s="1"/>
  <c r="AE53" i="2"/>
  <c r="AQ53" i="2" s="1"/>
  <c r="Q47" i="18"/>
  <c r="AC47" i="18" s="1"/>
  <c r="N47" i="18"/>
  <c r="Z47" i="18" s="1"/>
  <c r="V44" i="18"/>
  <c r="AH44" i="18" s="1"/>
  <c r="Q44" i="18"/>
  <c r="AC44" i="18" s="1"/>
  <c r="U35" i="18"/>
  <c r="AG35" i="18" s="1"/>
  <c r="O51" i="18"/>
  <c r="AA51" i="18" s="1"/>
  <c r="U40" i="18"/>
  <c r="AG40" i="18" s="1"/>
  <c r="O42" i="18"/>
  <c r="AA42" i="18" s="1"/>
  <c r="L43" i="18"/>
  <c r="X43" i="18" s="1"/>
  <c r="V37" i="18"/>
  <c r="AH37" i="18" s="1"/>
  <c r="T44" i="18"/>
  <c r="AF44" i="18" s="1"/>
  <c r="S37" i="18"/>
  <c r="AE37" i="18" s="1"/>
  <c r="AI64" i="2"/>
  <c r="AU64" i="2" s="1"/>
  <c r="AC49" i="2"/>
  <c r="AO49" i="2" s="1"/>
  <c r="P48" i="18"/>
  <c r="AB48" i="18" s="1"/>
  <c r="P44" i="18"/>
  <c r="AB44" i="18" s="1"/>
  <c r="O35" i="18"/>
  <c r="AA35" i="18" s="1"/>
  <c r="K37" i="18"/>
  <c r="W37" i="18" s="1"/>
  <c r="L33" i="18"/>
  <c r="X33" i="18" s="1"/>
  <c r="U51" i="18"/>
  <c r="AG51" i="18" s="1"/>
  <c r="V60" i="18"/>
  <c r="AH60" i="18" s="1"/>
  <c r="O46" i="18"/>
  <c r="AA46" i="18" s="1"/>
  <c r="T49" i="18"/>
  <c r="AF49" i="18" s="1"/>
  <c r="P36" i="18"/>
  <c r="AB36" i="18" s="1"/>
  <c r="T37" i="18"/>
  <c r="AF37" i="18" s="1"/>
  <c r="T36" i="18"/>
  <c r="AF36" i="18" s="1"/>
  <c r="M23" i="18"/>
  <c r="Y23" i="18" s="1"/>
  <c r="M45" i="18"/>
  <c r="Y45" i="18" s="1"/>
  <c r="Q42" i="18"/>
  <c r="AC42" i="18" s="1"/>
  <c r="K43" i="18"/>
  <c r="W43" i="18" s="1"/>
  <c r="P49" i="18"/>
  <c r="AB49" i="18" s="1"/>
  <c r="Q37" i="18"/>
  <c r="AC37" i="18" s="1"/>
  <c r="N60" i="18"/>
  <c r="Z60" i="18" s="1"/>
  <c r="AO51" i="18"/>
  <c r="AO48" i="18"/>
  <c r="N9" i="18"/>
  <c r="Z9" i="18" s="1"/>
  <c r="Z42" i="2"/>
  <c r="AL42" i="2" s="1"/>
  <c r="T31" i="18"/>
  <c r="AF31" i="18" s="1"/>
  <c r="R19" i="18"/>
  <c r="AD19" i="18" s="1"/>
  <c r="N16" i="18"/>
  <c r="Z16" i="18" s="1"/>
  <c r="K28" i="18"/>
  <c r="W28" i="18" s="1"/>
  <c r="O31" i="18"/>
  <c r="AA31" i="18" s="1"/>
  <c r="N28" i="18"/>
  <c r="Z28" i="18" s="1"/>
  <c r="R28" i="18"/>
  <c r="AD28" i="18" s="1"/>
  <c r="M28" i="18"/>
  <c r="Y28" i="18" s="1"/>
  <c r="AI45" i="2"/>
  <c r="AU45" i="2" s="1"/>
  <c r="AO28" i="18"/>
  <c r="K33" i="18"/>
  <c r="W33" i="18" s="1"/>
  <c r="O33" i="18"/>
  <c r="AA33" i="18" s="1"/>
  <c r="M29" i="18"/>
  <c r="Y29" i="18" s="1"/>
  <c r="K51" i="18"/>
  <c r="W51" i="18" s="1"/>
  <c r="T51" i="18"/>
  <c r="AF51" i="18" s="1"/>
  <c r="M51" i="18"/>
  <c r="Y51" i="18" s="1"/>
  <c r="R51" i="18"/>
  <c r="AD51" i="18" s="1"/>
  <c r="S51" i="18"/>
  <c r="AE51" i="18" s="1"/>
  <c r="V51" i="18"/>
  <c r="AH51" i="18" s="1"/>
  <c r="AI25" i="2"/>
  <c r="AU25" i="2" s="1"/>
  <c r="AN34" i="18"/>
  <c r="AO34" i="18" s="1"/>
  <c r="R34" i="18"/>
  <c r="AD34" i="18" s="1"/>
  <c r="V34" i="18"/>
  <c r="AH34" i="18" s="1"/>
  <c r="U34" i="18"/>
  <c r="AG34" i="18" s="1"/>
  <c r="M17" i="18"/>
  <c r="Y17" i="18" s="1"/>
  <c r="L27" i="18"/>
  <c r="X27" i="18" s="1"/>
  <c r="N36" i="18"/>
  <c r="Z36" i="18" s="1"/>
  <c r="P39" i="18"/>
  <c r="AB39" i="18" s="1"/>
  <c r="S48" i="18"/>
  <c r="AE48" i="18" s="1"/>
  <c r="P50" i="18"/>
  <c r="AB50" i="18" s="1"/>
  <c r="AA25" i="2"/>
  <c r="AM25" i="2" s="1"/>
  <c r="Y55" i="2"/>
  <c r="AK55" i="2" s="1"/>
  <c r="AB38" i="2"/>
  <c r="AN38" i="2" s="1"/>
  <c r="AO50" i="18"/>
  <c r="AO39" i="18"/>
  <c r="T26" i="18"/>
  <c r="AF26" i="18" s="1"/>
  <c r="P24" i="18"/>
  <c r="AB24" i="18" s="1"/>
  <c r="Q40" i="18"/>
  <c r="AC40" i="18" s="1"/>
  <c r="U41" i="18"/>
  <c r="AG41" i="18" s="1"/>
  <c r="K41" i="18"/>
  <c r="W41" i="18" s="1"/>
  <c r="T50" i="18"/>
  <c r="AF50" i="18" s="1"/>
  <c r="R45" i="18"/>
  <c r="AD45" i="18" s="1"/>
  <c r="V42" i="18"/>
  <c r="AH42" i="18" s="1"/>
  <c r="K35" i="18"/>
  <c r="W35" i="18" s="1"/>
  <c r="Q28" i="18"/>
  <c r="AC28" i="18" s="1"/>
  <c r="S44" i="18"/>
  <c r="AE44" i="18" s="1"/>
  <c r="M35" i="18"/>
  <c r="Y35" i="18" s="1"/>
  <c r="R46" i="18"/>
  <c r="AD46" i="18" s="1"/>
  <c r="K48" i="18"/>
  <c r="W48" i="18" s="1"/>
  <c r="M38" i="18"/>
  <c r="Y38" i="18" s="1"/>
  <c r="T39" i="18"/>
  <c r="AF39" i="18" s="1"/>
  <c r="P33" i="18"/>
  <c r="AB33" i="18" s="1"/>
  <c r="O50" i="18"/>
  <c r="AA50" i="18" s="1"/>
  <c r="U38" i="18"/>
  <c r="AG38" i="18" s="1"/>
  <c r="R42" i="18"/>
  <c r="AD42" i="18" s="1"/>
  <c r="N33" i="18"/>
  <c r="Z33" i="18" s="1"/>
  <c r="S43" i="18"/>
  <c r="AE43" i="18" s="1"/>
  <c r="O41" i="18"/>
  <c r="AA41" i="18" s="1"/>
  <c r="Q30" i="18"/>
  <c r="AC30" i="18" s="1"/>
  <c r="L49" i="18"/>
  <c r="X49" i="18" s="1"/>
  <c r="R39" i="18"/>
  <c r="AD39" i="18" s="1"/>
  <c r="V31" i="18"/>
  <c r="AH31" i="18" s="1"/>
  <c r="T47" i="18"/>
  <c r="AF47" i="18" s="1"/>
  <c r="Q41" i="18"/>
  <c r="AC41" i="18" s="1"/>
  <c r="U33" i="18"/>
  <c r="AG33" i="18" s="1"/>
  <c r="M37" i="18"/>
  <c r="Y37" i="18" s="1"/>
  <c r="R48" i="18"/>
  <c r="AD48" i="18" s="1"/>
  <c r="R44" i="18"/>
  <c r="AD44" i="18" s="1"/>
  <c r="T42" i="18"/>
  <c r="AF42" i="18" s="1"/>
  <c r="V9" i="18"/>
  <c r="AH9" i="18" s="1"/>
  <c r="L39" i="18"/>
  <c r="X39" i="18" s="1"/>
  <c r="U28" i="18"/>
  <c r="AG28" i="18" s="1"/>
  <c r="V36" i="18"/>
  <c r="AH36" i="18" s="1"/>
  <c r="K50" i="18"/>
  <c r="W50" i="18" s="1"/>
  <c r="K40" i="18"/>
  <c r="W40" i="18" s="1"/>
  <c r="O34" i="18"/>
  <c r="AA34" i="18" s="1"/>
  <c r="R41" i="18"/>
  <c r="AD41" i="18" s="1"/>
  <c r="V40" i="18"/>
  <c r="AH40" i="18" s="1"/>
  <c r="K46" i="18"/>
  <c r="W46" i="18" s="1"/>
  <c r="P34" i="18"/>
  <c r="AB34" i="18" s="1"/>
  <c r="R31" i="18"/>
  <c r="AD31" i="18" s="1"/>
  <c r="O48" i="18"/>
  <c r="AA48" i="18" s="1"/>
  <c r="S32" i="18"/>
  <c r="AE32" i="18" s="1"/>
  <c r="S33" i="18"/>
  <c r="AE33" i="18" s="1"/>
  <c r="M41" i="18"/>
  <c r="Y41" i="18" s="1"/>
  <c r="O27" i="18"/>
  <c r="AA27" i="18" s="1"/>
  <c r="T48" i="18"/>
  <c r="AF48" i="18" s="1"/>
  <c r="U50" i="18"/>
  <c r="AG50" i="18" s="1"/>
  <c r="N41" i="18"/>
  <c r="Z41" i="18" s="1"/>
  <c r="T41" i="18"/>
  <c r="AF41" i="18" s="1"/>
  <c r="P43" i="18"/>
  <c r="AB43" i="18" s="1"/>
  <c r="U39" i="18"/>
  <c r="AG39" i="18" s="1"/>
  <c r="K31" i="18"/>
  <c r="W31" i="18" s="1"/>
  <c r="N39" i="18"/>
  <c r="Z39" i="18" s="1"/>
  <c r="T9" i="18"/>
  <c r="AF9" i="18" s="1"/>
  <c r="AD46" i="2"/>
  <c r="AP46" i="2" s="1"/>
  <c r="AN49" i="18"/>
  <c r="AO49" i="18" s="1"/>
  <c r="S49" i="18"/>
  <c r="AE49" i="18" s="1"/>
  <c r="N45" i="18"/>
  <c r="Z45" i="18" s="1"/>
  <c r="S45" i="18"/>
  <c r="AE45" i="18" s="1"/>
  <c r="N26" i="18"/>
  <c r="Z26" i="18" s="1"/>
  <c r="P35" i="18"/>
  <c r="AB35" i="18" s="1"/>
  <c r="N35" i="18"/>
  <c r="Z35" i="18" s="1"/>
  <c r="S41" i="18"/>
  <c r="AE41" i="18" s="1"/>
  <c r="U49" i="18"/>
  <c r="AG49" i="18" s="1"/>
  <c r="V39" i="18"/>
  <c r="AH39" i="18" s="1"/>
  <c r="L46" i="18"/>
  <c r="X46" i="18" s="1"/>
  <c r="T38" i="18"/>
  <c r="AF38" i="18" s="1"/>
  <c r="M44" i="18"/>
  <c r="Y44" i="18" s="1"/>
  <c r="U36" i="18"/>
  <c r="AG36" i="18" s="1"/>
  <c r="Q48" i="18"/>
  <c r="AC48" i="18" s="1"/>
  <c r="R50" i="18"/>
  <c r="AD50" i="18" s="1"/>
  <c r="T34" i="18"/>
  <c r="AF34" i="18" s="1"/>
  <c r="S30" i="18"/>
  <c r="AE30" i="18" s="1"/>
  <c r="M46" i="18"/>
  <c r="Y46" i="18" s="1"/>
  <c r="T29" i="18"/>
  <c r="AF29" i="18" s="1"/>
  <c r="K32" i="18"/>
  <c r="W32" i="18" s="1"/>
  <c r="M30" i="18"/>
  <c r="Y30" i="18" s="1"/>
  <c r="V46" i="18"/>
  <c r="AH46" i="18" s="1"/>
  <c r="U29" i="18"/>
  <c r="AG29" i="18" s="1"/>
  <c r="Q27" i="18"/>
  <c r="AC27" i="18" s="1"/>
  <c r="P30" i="18"/>
  <c r="AB30" i="18" s="1"/>
  <c r="N43" i="18"/>
  <c r="Z43" i="18" s="1"/>
  <c r="K39" i="18"/>
  <c r="W39" i="18" s="1"/>
  <c r="O28" i="18"/>
  <c r="AA28" i="18" s="1"/>
  <c r="R49" i="18"/>
  <c r="AD49" i="18" s="1"/>
  <c r="K38" i="18"/>
  <c r="W38" i="18" s="1"/>
  <c r="O38" i="18"/>
  <c r="AA38" i="18" s="1"/>
  <c r="L38" i="18"/>
  <c r="X38" i="18" s="1"/>
  <c r="V35" i="18"/>
  <c r="AH35" i="18" s="1"/>
  <c r="U30" i="18"/>
  <c r="AG30" i="18" s="1"/>
  <c r="S39" i="18"/>
  <c r="AE39" i="18" s="1"/>
  <c r="O47" i="18"/>
  <c r="AA47" i="18" s="1"/>
  <c r="M32" i="18"/>
  <c r="Y32" i="18" s="1"/>
  <c r="AN29" i="18"/>
  <c r="AO29" i="18" s="1"/>
  <c r="K29" i="18"/>
  <c r="W29" i="18" s="1"/>
  <c r="O29" i="18"/>
  <c r="AA29" i="18" s="1"/>
  <c r="V29" i="18"/>
  <c r="AH29" i="18" s="1"/>
  <c r="R29" i="18"/>
  <c r="AD29" i="18" s="1"/>
  <c r="P9" i="18"/>
  <c r="AB9" i="18" s="1"/>
  <c r="AC52" i="2"/>
  <c r="AO52" i="2" s="1"/>
  <c r="V21" i="18"/>
  <c r="AH21" i="18" s="1"/>
  <c r="O39" i="18"/>
  <c r="AA39" i="18" s="1"/>
  <c r="S47" i="18"/>
  <c r="AE47" i="18" s="1"/>
  <c r="S38" i="18"/>
  <c r="AE38" i="18" s="1"/>
  <c r="T40" i="18"/>
  <c r="AF40" i="18" s="1"/>
  <c r="K36" i="18"/>
  <c r="W36" i="18" s="1"/>
  <c r="O40" i="18"/>
  <c r="AA40" i="18" s="1"/>
  <c r="N34" i="18"/>
  <c r="Z34" i="18" s="1"/>
  <c r="U47" i="18"/>
  <c r="AG47" i="18" s="1"/>
  <c r="L44" i="18"/>
  <c r="X44" i="18" s="1"/>
  <c r="Q36" i="18"/>
  <c r="AC36" i="18" s="1"/>
  <c r="L34" i="18"/>
  <c r="X34" i="18" s="1"/>
  <c r="L29" i="18"/>
  <c r="X29" i="18" s="1"/>
  <c r="V32" i="18"/>
  <c r="AH32" i="18" s="1"/>
  <c r="K34" i="18"/>
  <c r="W34" i="18" s="1"/>
  <c r="M33" i="18"/>
  <c r="Y33" i="18" s="1"/>
  <c r="T45" i="18"/>
  <c r="AF45" i="18" s="1"/>
  <c r="O32" i="18"/>
  <c r="AA32" i="18" s="1"/>
  <c r="K30" i="18"/>
  <c r="W30" i="18" s="1"/>
  <c r="N31" i="18"/>
  <c r="Z31" i="18" s="1"/>
  <c r="N50" i="18"/>
  <c r="Z50" i="18" s="1"/>
  <c r="N27" i="18"/>
  <c r="Z27" i="18" s="1"/>
  <c r="V30" i="18"/>
  <c r="AH30" i="18" s="1"/>
  <c r="L31" i="18"/>
  <c r="X31" i="18" s="1"/>
  <c r="L32" i="18"/>
  <c r="X32" i="18" s="1"/>
  <c r="V28" i="18"/>
  <c r="AH28" i="18" s="1"/>
  <c r="N48" i="18"/>
  <c r="Z48" i="18" s="1"/>
  <c r="R37" i="18"/>
  <c r="AD37" i="18" s="1"/>
  <c r="R36" i="18"/>
  <c r="AD36" i="18" s="1"/>
  <c r="R32" i="18"/>
  <c r="AD32" i="18" s="1"/>
  <c r="S27" i="18"/>
  <c r="AE27" i="18" s="1"/>
  <c r="P31" i="18"/>
  <c r="AB31" i="18" s="1"/>
  <c r="U46" i="18"/>
  <c r="AG46" i="18" s="1"/>
  <c r="U32" i="18"/>
  <c r="AG32" i="18" s="1"/>
  <c r="AN42" i="18"/>
  <c r="AO42" i="18" s="1"/>
  <c r="N42" i="18"/>
  <c r="Z42" i="18" s="1"/>
  <c r="K42" i="18"/>
  <c r="W42" i="18" s="1"/>
  <c r="M42" i="18"/>
  <c r="Y42" i="18" s="1"/>
  <c r="AN47" i="18"/>
  <c r="AO47" i="18" s="1"/>
  <c r="V47" i="18"/>
  <c r="AH47" i="18" s="1"/>
  <c r="R47" i="18"/>
  <c r="AD47" i="18" s="1"/>
  <c r="AN37" i="18"/>
  <c r="AO37" i="18" s="1"/>
  <c r="O37" i="18"/>
  <c r="AA37" i="18" s="1"/>
  <c r="U37" i="18"/>
  <c r="AG37" i="18" s="1"/>
  <c r="T23" i="18"/>
  <c r="AF23" i="18" s="1"/>
  <c r="M49" i="18"/>
  <c r="Y49" i="18" s="1"/>
  <c r="K49" i="18"/>
  <c r="W49" i="18" s="1"/>
  <c r="R35" i="18"/>
  <c r="AD35" i="18" s="1"/>
  <c r="S40" i="18"/>
  <c r="AE40" i="18" s="1"/>
  <c r="Q49" i="18"/>
  <c r="AC49" i="18" s="1"/>
  <c r="S29" i="18"/>
  <c r="AE29" i="18" s="1"/>
  <c r="P37" i="18"/>
  <c r="AB37" i="18" s="1"/>
  <c r="M34" i="18"/>
  <c r="Y34" i="18" s="1"/>
  <c r="K44" i="18"/>
  <c r="W44" i="18" s="1"/>
  <c r="L36" i="18"/>
  <c r="X36" i="18" s="1"/>
  <c r="P46" i="18"/>
  <c r="AB46" i="18" s="1"/>
  <c r="M47" i="18"/>
  <c r="Y47" i="18" s="1"/>
  <c r="M27" i="18"/>
  <c r="Y27" i="18" s="1"/>
  <c r="P32" i="18"/>
  <c r="AB32" i="18" s="1"/>
  <c r="P42" i="18"/>
  <c r="AB42" i="18" s="1"/>
  <c r="S42" i="18"/>
  <c r="AE42" i="18" s="1"/>
  <c r="U27" i="18"/>
  <c r="AG27" i="18" s="1"/>
  <c r="Q32" i="18"/>
  <c r="AC32" i="18" s="1"/>
  <c r="L37" i="18"/>
  <c r="X37" i="18" s="1"/>
  <c r="U45" i="18"/>
  <c r="AG45" i="18" s="1"/>
  <c r="T35" i="18"/>
  <c r="AF35" i="18" s="1"/>
  <c r="P27" i="18"/>
  <c r="AB27" i="18" s="1"/>
  <c r="V49" i="18"/>
  <c r="AH49" i="18" s="1"/>
  <c r="R27" i="18"/>
  <c r="AD27" i="18" s="1"/>
  <c r="O36" i="18"/>
  <c r="AA36" i="18" s="1"/>
  <c r="P40" i="18"/>
  <c r="AB40" i="18" s="1"/>
  <c r="V43" i="18"/>
  <c r="AH43" i="18" s="1"/>
  <c r="S36" i="18"/>
  <c r="AE36" i="18" s="1"/>
  <c r="Q35" i="18"/>
  <c r="AC35" i="18" s="1"/>
  <c r="T33" i="18"/>
  <c r="AF33" i="18" s="1"/>
  <c r="N46" i="18"/>
  <c r="Z46" i="18" s="1"/>
  <c r="V41" i="18"/>
  <c r="AH41" i="18" s="1"/>
  <c r="R38" i="18"/>
  <c r="AD38" i="18" s="1"/>
  <c r="O30" i="18"/>
  <c r="AA30" i="18" s="1"/>
  <c r="M39" i="18"/>
  <c r="Y39" i="18" s="1"/>
  <c r="M26" i="18"/>
  <c r="Y26" i="18" s="1"/>
  <c r="L41" i="18"/>
  <c r="X41" i="18" s="1"/>
  <c r="AJ56" i="2"/>
  <c r="AV56" i="2" s="1"/>
  <c r="AI48" i="2"/>
  <c r="AU48" i="2" s="1"/>
  <c r="O26" i="18"/>
  <c r="AA26" i="18" s="1"/>
  <c r="M31" i="18"/>
  <c r="Y31" i="18" s="1"/>
  <c r="V48" i="18"/>
  <c r="AH48" i="18" s="1"/>
  <c r="L30" i="18"/>
  <c r="X30" i="18" s="1"/>
  <c r="T46" i="18"/>
  <c r="AF46" i="18" s="1"/>
  <c r="T28" i="18"/>
  <c r="AF28" i="18" s="1"/>
  <c r="S50" i="18"/>
  <c r="AE50" i="18" s="1"/>
  <c r="N32" i="18"/>
  <c r="Z32" i="18" s="1"/>
  <c r="R33" i="18"/>
  <c r="AD33" i="18" s="1"/>
  <c r="U44" i="18"/>
  <c r="AG44" i="18" s="1"/>
  <c r="O49" i="18"/>
  <c r="AA49" i="18" s="1"/>
  <c r="V33" i="18"/>
  <c r="AH33" i="18" s="1"/>
  <c r="L45" i="18"/>
  <c r="X45" i="18" s="1"/>
  <c r="S35" i="18"/>
  <c r="AE35" i="18" s="1"/>
  <c r="Q31" i="18"/>
  <c r="AC31" i="18" s="1"/>
  <c r="Q50" i="18"/>
  <c r="AC50" i="18" s="1"/>
  <c r="P45" i="18"/>
  <c r="AB45" i="18" s="1"/>
  <c r="U31" i="18"/>
  <c r="AG31" i="18" s="1"/>
  <c r="M48" i="18"/>
  <c r="Y48" i="18" s="1"/>
  <c r="S31" i="18"/>
  <c r="AE31" i="18" s="1"/>
  <c r="V27" i="18"/>
  <c r="AH27" i="18" s="1"/>
  <c r="Q39" i="18"/>
  <c r="AC39" i="18" s="1"/>
  <c r="Q43" i="18"/>
  <c r="AC43" i="18" s="1"/>
  <c r="T30" i="18"/>
  <c r="AF30" i="18" s="1"/>
  <c r="V50" i="18"/>
  <c r="AH50" i="18" s="1"/>
  <c r="N44" i="18"/>
  <c r="Z44" i="18" s="1"/>
  <c r="N38" i="18"/>
  <c r="Z38" i="18" s="1"/>
  <c r="M36" i="18"/>
  <c r="Y36" i="18" s="1"/>
  <c r="U48" i="18"/>
  <c r="AG48" i="18" s="1"/>
  <c r="L40" i="18"/>
  <c r="X40" i="18" s="1"/>
  <c r="P38" i="18"/>
  <c r="AB38" i="18" s="1"/>
  <c r="N30" i="18"/>
  <c r="Z30" i="18" s="1"/>
  <c r="T27" i="18"/>
  <c r="AF27" i="18" s="1"/>
  <c r="Q38" i="18"/>
  <c r="AC38" i="18" s="1"/>
  <c r="O43" i="18"/>
  <c r="AA43" i="18" s="1"/>
  <c r="T43" i="18"/>
  <c r="AF43" i="18" s="1"/>
  <c r="P28" i="18"/>
  <c r="AB28" i="18" s="1"/>
  <c r="N40" i="18"/>
  <c r="Z40" i="18" s="1"/>
  <c r="S28" i="18"/>
  <c r="AE28" i="18" s="1"/>
  <c r="P29" i="18"/>
  <c r="AB29" i="18" s="1"/>
  <c r="L48" i="18"/>
  <c r="X48" i="18" s="1"/>
  <c r="Q29" i="18"/>
  <c r="AC29" i="18" s="1"/>
  <c r="M50" i="18"/>
  <c r="Y50" i="18" s="1"/>
  <c r="L28" i="18"/>
  <c r="X28" i="18" s="1"/>
  <c r="Q34" i="18"/>
  <c r="AC34" i="18" s="1"/>
  <c r="L50" i="18"/>
  <c r="X50" i="18" s="1"/>
  <c r="Q17" i="18"/>
  <c r="AC17" i="18" s="1"/>
  <c r="AJ25" i="2"/>
  <c r="AV25" i="2" s="1"/>
  <c r="AG25" i="2"/>
  <c r="AS25" i="2" s="1"/>
  <c r="U17" i="18"/>
  <c r="AG17" i="18" s="1"/>
  <c r="Y25" i="2"/>
  <c r="AK25" i="2" s="1"/>
  <c r="R9" i="18"/>
  <c r="AD9" i="18" s="1"/>
  <c r="L17" i="18"/>
  <c r="X17" i="18" s="1"/>
  <c r="O9" i="18"/>
  <c r="AA9" i="18" s="1"/>
  <c r="S17" i="18"/>
  <c r="AE17" i="18" s="1"/>
  <c r="AF25" i="2"/>
  <c r="AR25" i="2" s="1"/>
  <c r="M9" i="18"/>
  <c r="Y9" i="18" s="1"/>
  <c r="M21" i="18"/>
  <c r="Y21" i="18" s="1"/>
  <c r="P23" i="18"/>
  <c r="AB23" i="18" s="1"/>
  <c r="AH25" i="2"/>
  <c r="AT25" i="2" s="1"/>
  <c r="Q9" i="18"/>
  <c r="AC9" i="18" s="1"/>
  <c r="AC25" i="2"/>
  <c r="AO25" i="2" s="1"/>
  <c r="AE25" i="2"/>
  <c r="AQ25" i="2" s="1"/>
  <c r="L9" i="18"/>
  <c r="X9" i="18" s="1"/>
  <c r="AE26" i="2"/>
  <c r="AQ26" i="2" s="1"/>
  <c r="S19" i="18"/>
  <c r="AE19" i="18" s="1"/>
  <c r="R24" i="18"/>
  <c r="AD24" i="18" s="1"/>
  <c r="AB25" i="2"/>
  <c r="AN25" i="2" s="1"/>
  <c r="AD25" i="2"/>
  <c r="AP25" i="2" s="1"/>
  <c r="U9" i="18"/>
  <c r="AG9" i="18" s="1"/>
  <c r="S18" i="18"/>
  <c r="AE18" i="18" s="1"/>
  <c r="O17" i="18"/>
  <c r="AA17" i="18" s="1"/>
  <c r="AN14" i="18"/>
  <c r="T14" i="18"/>
  <c r="AF14" i="18" s="1"/>
  <c r="AB41" i="2"/>
  <c r="AN41" i="2" s="1"/>
  <c r="R21" i="18"/>
  <c r="AD21" i="18" s="1"/>
  <c r="R18" i="18"/>
  <c r="AD18" i="18" s="1"/>
  <c r="S16" i="18"/>
  <c r="AE16" i="18" s="1"/>
  <c r="M18" i="18"/>
  <c r="Y18" i="18" s="1"/>
  <c r="O23" i="18"/>
  <c r="AA23" i="18" s="1"/>
  <c r="P14" i="18"/>
  <c r="AB14" i="18" s="1"/>
  <c r="M19" i="18"/>
  <c r="Y19" i="18" s="1"/>
  <c r="AI34" i="2"/>
  <c r="AU34" i="2" s="1"/>
  <c r="V25" i="18"/>
  <c r="AH25" i="18" s="1"/>
  <c r="T25" i="18"/>
  <c r="AF25" i="18" s="1"/>
  <c r="N23" i="18"/>
  <c r="Z23" i="18" s="1"/>
  <c r="P18" i="18"/>
  <c r="AB18" i="18" s="1"/>
  <c r="R17" i="18"/>
  <c r="AD17" i="18" s="1"/>
  <c r="L23" i="18"/>
  <c r="X23" i="18" s="1"/>
  <c r="K19" i="18"/>
  <c r="W19" i="18" s="1"/>
  <c r="V14" i="18"/>
  <c r="AH14" i="18" s="1"/>
  <c r="P16" i="18"/>
  <c r="AB16" i="18" s="1"/>
  <c r="Q22" i="18"/>
  <c r="AC22" i="18" s="1"/>
  <c r="L19" i="18"/>
  <c r="X19" i="18" s="1"/>
  <c r="U25" i="18"/>
  <c r="AG25" i="18" s="1"/>
  <c r="N20" i="18"/>
  <c r="Z20" i="18" s="1"/>
  <c r="K20" i="18"/>
  <c r="W20" i="18" s="1"/>
  <c r="K21" i="18"/>
  <c r="W21" i="18" s="1"/>
  <c r="K22" i="18"/>
  <c r="W22" i="18" s="1"/>
  <c r="K23" i="18"/>
  <c r="W23" i="18" s="1"/>
  <c r="Q14" i="18"/>
  <c r="AC14" i="18" s="1"/>
  <c r="K25" i="18"/>
  <c r="W25" i="18" s="1"/>
  <c r="V19" i="18"/>
  <c r="AH19" i="18" s="1"/>
  <c r="V22" i="18"/>
  <c r="AH22" i="18" s="1"/>
  <c r="V24" i="18"/>
  <c r="AH24" i="18" s="1"/>
  <c r="P19" i="18"/>
  <c r="AB19" i="18" s="1"/>
  <c r="AC30" i="2"/>
  <c r="AO30" i="2" s="1"/>
  <c r="AN26" i="18"/>
  <c r="Q26" i="18"/>
  <c r="AC26" i="18" s="1"/>
  <c r="U15" i="18"/>
  <c r="AG15" i="18" s="1"/>
  <c r="L14" i="18"/>
  <c r="X14" i="18" s="1"/>
  <c r="N14" i="18"/>
  <c r="Z14" i="18" s="1"/>
  <c r="T21" i="18"/>
  <c r="AF21" i="18" s="1"/>
  <c r="N17" i="18"/>
  <c r="Z17" i="18" s="1"/>
  <c r="K16" i="18"/>
  <c r="W16" i="18" s="1"/>
  <c r="U22" i="18"/>
  <c r="AG22" i="18" s="1"/>
  <c r="T20" i="18"/>
  <c r="AF20" i="18" s="1"/>
  <c r="M24" i="18"/>
  <c r="Y24" i="18" s="1"/>
  <c r="N15" i="18"/>
  <c r="Z15" i="18" s="1"/>
  <c r="S20" i="18"/>
  <c r="AE20" i="18" s="1"/>
  <c r="K18" i="18"/>
  <c r="W18" i="18" s="1"/>
  <c r="P26" i="18"/>
  <c r="AB26" i="18" s="1"/>
  <c r="R22" i="18"/>
  <c r="AD22" i="18" s="1"/>
  <c r="O15" i="18"/>
  <c r="AA15" i="18" s="1"/>
  <c r="T17" i="18"/>
  <c r="AF17" i="18" s="1"/>
  <c r="S23" i="18"/>
  <c r="AE23" i="18" s="1"/>
  <c r="U26" i="18"/>
  <c r="AG26" i="18" s="1"/>
  <c r="K14" i="18"/>
  <c r="W14" i="18" s="1"/>
  <c r="Q25" i="18"/>
  <c r="AC25" i="18" s="1"/>
  <c r="T24" i="18"/>
  <c r="AF24" i="18" s="1"/>
  <c r="U21" i="18"/>
  <c r="AG21" i="18" s="1"/>
  <c r="P22" i="18"/>
  <c r="AB22" i="18" s="1"/>
  <c r="M25" i="18"/>
  <c r="Y25" i="18" s="1"/>
  <c r="T16" i="18"/>
  <c r="AF16" i="18" s="1"/>
  <c r="R25" i="18"/>
  <c r="AD25" i="18" s="1"/>
  <c r="L26" i="18"/>
  <c r="X26" i="18" s="1"/>
  <c r="R23" i="18"/>
  <c r="AD23" i="18" s="1"/>
  <c r="O22" i="18"/>
  <c r="AA22" i="18" s="1"/>
  <c r="N21" i="18"/>
  <c r="Z21" i="18" s="1"/>
  <c r="V17" i="18"/>
  <c r="AH17" i="18" s="1"/>
  <c r="O16" i="18"/>
  <c r="AA16" i="18" s="1"/>
  <c r="L22" i="18"/>
  <c r="X22" i="18" s="1"/>
  <c r="L15" i="18"/>
  <c r="X15" i="18" s="1"/>
  <c r="O21" i="18"/>
  <c r="AA21" i="18" s="1"/>
  <c r="L16" i="18"/>
  <c r="X16" i="18" s="1"/>
  <c r="R20" i="18"/>
  <c r="AD20" i="18" s="1"/>
  <c r="R15" i="18"/>
  <c r="AD15" i="18" s="1"/>
  <c r="U18" i="18"/>
  <c r="AG18" i="18" s="1"/>
  <c r="U20" i="18"/>
  <c r="AG20" i="18" s="1"/>
  <c r="K17" i="18"/>
  <c r="W17" i="18" s="1"/>
  <c r="O20" i="18"/>
  <c r="AA20" i="18" s="1"/>
  <c r="P15" i="18"/>
  <c r="AB15" i="18" s="1"/>
  <c r="U14" i="18"/>
  <c r="AG14" i="18" s="1"/>
  <c r="S15" i="18"/>
  <c r="AE15" i="18" s="1"/>
  <c r="AN24" i="18"/>
  <c r="AO24" i="18" s="1"/>
  <c r="K24" i="18"/>
  <c r="W24" i="18" s="1"/>
  <c r="Q24" i="18"/>
  <c r="AC24" i="18" s="1"/>
  <c r="O24" i="18"/>
  <c r="AA24" i="18" s="1"/>
  <c r="AN19" i="18"/>
  <c r="AO19" i="18" s="1"/>
  <c r="U19" i="18"/>
  <c r="AG19" i="18" s="1"/>
  <c r="T22" i="18"/>
  <c r="AF22" i="18" s="1"/>
  <c r="S22" i="18"/>
  <c r="AE22" i="18" s="1"/>
  <c r="M22" i="18"/>
  <c r="Y22" i="18" s="1"/>
  <c r="K15" i="18"/>
  <c r="W15" i="18" s="1"/>
  <c r="L24" i="18"/>
  <c r="X24" i="18" s="1"/>
  <c r="V23" i="18"/>
  <c r="AH23" i="18" s="1"/>
  <c r="P20" i="18"/>
  <c r="AB20" i="18" s="1"/>
  <c r="Q16" i="18"/>
  <c r="AC16" i="18" s="1"/>
  <c r="U23" i="18"/>
  <c r="AG23" i="18" s="1"/>
  <c r="M15" i="18"/>
  <c r="Y15" i="18" s="1"/>
  <c r="T19" i="18"/>
  <c r="AF19" i="18" s="1"/>
  <c r="M16" i="18"/>
  <c r="Y16" i="18" s="1"/>
  <c r="O14" i="18"/>
  <c r="AA14" i="18" s="1"/>
  <c r="O25" i="18"/>
  <c r="AA25" i="18" s="1"/>
  <c r="AN18" i="18"/>
  <c r="AO18" i="18" s="1"/>
  <c r="V18" i="18"/>
  <c r="AH18" i="18" s="1"/>
  <c r="O18" i="18"/>
  <c r="AA18" i="18" s="1"/>
  <c r="R16" i="18"/>
  <c r="AD16" i="18" s="1"/>
  <c r="S14" i="18"/>
  <c r="AE14" i="18" s="1"/>
  <c r="N25" i="18"/>
  <c r="Z25" i="18" s="1"/>
  <c r="AH39" i="2"/>
  <c r="AT39" i="2" s="1"/>
  <c r="AO23" i="18"/>
  <c r="Q19" i="18"/>
  <c r="AC19" i="18" s="1"/>
  <c r="V20" i="18"/>
  <c r="AH20" i="18" s="1"/>
  <c r="L25" i="18"/>
  <c r="X25" i="18" s="1"/>
  <c r="L18" i="18"/>
  <c r="X18" i="18" s="1"/>
  <c r="K26" i="18"/>
  <c r="W26" i="18" s="1"/>
  <c r="V15" i="18"/>
  <c r="AH15" i="18" s="1"/>
  <c r="L20" i="18"/>
  <c r="X20" i="18" s="1"/>
  <c r="V26" i="18"/>
  <c r="AH26" i="18" s="1"/>
  <c r="S25" i="18"/>
  <c r="AE25" i="18" s="1"/>
  <c r="Q20" i="18"/>
  <c r="AC20" i="18" s="1"/>
  <c r="S26" i="18"/>
  <c r="AE26" i="18" s="1"/>
  <c r="N18" i="18"/>
  <c r="Z18" i="18" s="1"/>
  <c r="Q23" i="18"/>
  <c r="AC23" i="18" s="1"/>
  <c r="T15" i="18"/>
  <c r="AF15" i="18" s="1"/>
  <c r="S24" i="18"/>
  <c r="AE24" i="18" s="1"/>
  <c r="Q15" i="18"/>
  <c r="AC15" i="18" s="1"/>
  <c r="Y27" i="2"/>
  <c r="AK27" i="2" s="1"/>
  <c r="AN16" i="18"/>
  <c r="AO16" i="18" s="1"/>
  <c r="U16" i="18"/>
  <c r="AG16" i="18" s="1"/>
  <c r="AN21" i="18"/>
  <c r="AO21" i="18" s="1"/>
  <c r="S21" i="18"/>
  <c r="AE21" i="18" s="1"/>
  <c r="N19" i="18"/>
  <c r="Z19" i="18" s="1"/>
  <c r="Q21" i="18"/>
  <c r="AC21" i="18" s="1"/>
  <c r="M14" i="18"/>
  <c r="Y14" i="18" s="1"/>
  <c r="Q18" i="18"/>
  <c r="AC18" i="18" s="1"/>
  <c r="R14" i="18"/>
  <c r="AD14" i="18" s="1"/>
  <c r="N24" i="18"/>
  <c r="Z24" i="18" s="1"/>
  <c r="M20" i="18"/>
  <c r="Y20" i="18" s="1"/>
  <c r="L21" i="18"/>
  <c r="X21" i="18" s="1"/>
  <c r="AO26" i="18"/>
  <c r="AO10" i="18"/>
  <c r="AO43" i="18"/>
  <c r="AO9" i="18"/>
  <c r="AO20" i="18"/>
  <c r="AO31" i="18"/>
  <c r="AN35" i="18"/>
  <c r="AO35" i="18" s="1"/>
  <c r="AI62" i="2"/>
  <c r="AU62" i="2" s="1"/>
  <c r="AN30" i="18"/>
  <c r="AO30" i="18" s="1"/>
  <c r="AI32" i="2"/>
  <c r="AU32" i="2" s="1"/>
  <c r="Y51" i="2"/>
  <c r="AK51" i="2" s="1"/>
  <c r="AN45" i="18"/>
  <c r="AO45" i="18" s="1"/>
  <c r="AA35" i="2"/>
  <c r="AM35" i="2" s="1"/>
  <c r="AJ59" i="2"/>
  <c r="AV59" i="2" s="1"/>
  <c r="AJ36" i="2"/>
  <c r="AV36" i="2" s="1"/>
  <c r="AB40" i="2"/>
  <c r="AN40" i="2" s="1"/>
  <c r="AO36" i="18"/>
  <c r="AO13" i="18"/>
  <c r="AO40" i="18"/>
  <c r="AO15" i="18"/>
  <c r="AN17" i="18"/>
  <c r="AO17" i="18" s="1"/>
  <c r="AN32" i="18"/>
  <c r="AO32" i="18" s="1"/>
  <c r="AN25" i="18"/>
  <c r="AO25" i="18" s="1"/>
  <c r="AN27" i="18"/>
  <c r="AO27" i="18" s="1"/>
  <c r="AN41" i="18"/>
  <c r="AO41" i="18" s="1"/>
  <c r="AN22" i="18"/>
  <c r="AO22" i="18" s="1"/>
  <c r="AN38" i="18"/>
  <c r="AO38" i="18" s="1"/>
  <c r="AE29" i="2"/>
  <c r="AQ29" i="2" s="1"/>
  <c r="AD37" i="2"/>
  <c r="AP37" i="2" s="1"/>
  <c r="Z25" i="2"/>
  <c r="AL25" i="2" s="1"/>
  <c r="S9" i="18"/>
  <c r="AE9" i="18" s="1"/>
  <c r="K9" i="18"/>
  <c r="W9" i="18" s="1"/>
  <c r="AJ33" i="2"/>
  <c r="AV33" i="2" s="1"/>
  <c r="Z43" i="2"/>
  <c r="AL43" i="2" s="1"/>
  <c r="AJ31" i="2"/>
  <c r="AV31" i="2" s="1"/>
  <c r="AN46" i="18"/>
  <c r="AO46" i="18" s="1"/>
  <c r="AN33" i="18"/>
  <c r="AO33" i="18" s="1"/>
  <c r="Z37" i="2"/>
  <c r="AL37" i="2" s="1"/>
  <c r="Y56" i="2"/>
  <c r="AK56" i="2" s="1"/>
  <c r="AF35" i="2"/>
  <c r="AR35" i="2" s="1"/>
  <c r="Y45" i="2"/>
  <c r="AK45" i="2" s="1"/>
  <c r="S13" i="18"/>
  <c r="AE13" i="18" s="1"/>
  <c r="AD67" i="2"/>
  <c r="AP67" i="2" s="1"/>
  <c r="AG35" i="2"/>
  <c r="AS35" i="2" s="1"/>
  <c r="T13" i="18"/>
  <c r="AF13" i="18" s="1"/>
  <c r="AD29" i="2"/>
  <c r="AP29" i="2" s="1"/>
  <c r="AE50" i="2"/>
  <c r="AQ50" i="2" s="1"/>
  <c r="L13" i="18"/>
  <c r="X13" i="18" s="1"/>
  <c r="Y67" i="2"/>
  <c r="AK67" i="2" s="1"/>
  <c r="O13" i="18"/>
  <c r="AA13" i="18" s="1"/>
  <c r="AB56" i="2"/>
  <c r="AN56" i="2" s="1"/>
  <c r="AF56" i="2"/>
  <c r="AR56" i="2" s="1"/>
  <c r="Q13" i="18"/>
  <c r="AC13" i="18" s="1"/>
  <c r="N13" i="18"/>
  <c r="Z13" i="18" s="1"/>
  <c r="AA29" i="2"/>
  <c r="AM29" i="2" s="1"/>
  <c r="AE56" i="2"/>
  <c r="AQ56" i="2" s="1"/>
  <c r="AE62" i="2"/>
  <c r="AQ62" i="2" s="1"/>
  <c r="AI35" i="2"/>
  <c r="AU35" i="2" s="1"/>
  <c r="P13" i="18"/>
  <c r="AB13" i="18" s="1"/>
  <c r="U13" i="18"/>
  <c r="AG13" i="18" s="1"/>
  <c r="AG29" i="2"/>
  <c r="AS29" i="2" s="1"/>
  <c r="R13" i="18"/>
  <c r="AD13" i="18" s="1"/>
  <c r="V13" i="18"/>
  <c r="AH13" i="18" s="1"/>
  <c r="AI29" i="2"/>
  <c r="AU29" i="2" s="1"/>
  <c r="AB35" i="2"/>
  <c r="AN35" i="2" s="1"/>
  <c r="M13" i="18"/>
  <c r="Y13" i="18" s="1"/>
  <c r="K13" i="18"/>
  <c r="W13" i="18" s="1"/>
  <c r="AJ29" i="2"/>
  <c r="AV29" i="2" s="1"/>
  <c r="Z66" i="2"/>
  <c r="AL66" i="2" s="1"/>
  <c r="AH37" i="2"/>
  <c r="AT37" i="2" s="1"/>
  <c r="AC45" i="2"/>
  <c r="AO45" i="2" s="1"/>
  <c r="AA37" i="2"/>
  <c r="AM37" i="2" s="1"/>
  <c r="AI37" i="2"/>
  <c r="AU37" i="2" s="1"/>
  <c r="AB37" i="2"/>
  <c r="AN37" i="2" s="1"/>
  <c r="AB53" i="2"/>
  <c r="AN53" i="2" s="1"/>
  <c r="AJ37" i="2"/>
  <c r="AV37" i="2" s="1"/>
  <c r="AB62" i="2"/>
  <c r="AN62" i="2" s="1"/>
  <c r="AB39" i="2"/>
  <c r="AN39" i="2" s="1"/>
  <c r="AJ45" i="2"/>
  <c r="AV45" i="2" s="1"/>
  <c r="AG37" i="2"/>
  <c r="AS37" i="2" s="1"/>
  <c r="Z46" i="2"/>
  <c r="AL46" i="2" s="1"/>
  <c r="AA53" i="2"/>
  <c r="AM53" i="2" s="1"/>
  <c r="AC53" i="2"/>
  <c r="AO53" i="2" s="1"/>
  <c r="Y33" i="2"/>
  <c r="AK33" i="2" s="1"/>
  <c r="AB29" i="2"/>
  <c r="AN29" i="2" s="1"/>
  <c r="AD53" i="2"/>
  <c r="AP53" i="2" s="1"/>
  <c r="AH32" i="2"/>
  <c r="AT32" i="2" s="1"/>
  <c r="AF58" i="2"/>
  <c r="AR58" i="2" s="1"/>
  <c r="Y53" i="2"/>
  <c r="AK53" i="2" s="1"/>
  <c r="AE37" i="2"/>
  <c r="AQ37" i="2" s="1"/>
  <c r="AD36" i="2"/>
  <c r="AP36" i="2" s="1"/>
  <c r="AE38" i="2"/>
  <c r="AQ38" i="2" s="1"/>
  <c r="AG56" i="2"/>
  <c r="AS56" i="2" s="1"/>
  <c r="AC39" i="2"/>
  <c r="AO39" i="2" s="1"/>
  <c r="AC50" i="2"/>
  <c r="AO50" i="2" s="1"/>
  <c r="AD75" i="2"/>
  <c r="AP75" i="2" s="1"/>
  <c r="AI56" i="2"/>
  <c r="AU56" i="2" s="1"/>
  <c r="AC48" i="2"/>
  <c r="AO48" i="2" s="1"/>
  <c r="AG43" i="2"/>
  <c r="AS43" i="2" s="1"/>
  <c r="AC40" i="2"/>
  <c r="AO40" i="2" s="1"/>
  <c r="AG50" i="2"/>
  <c r="AS50" i="2" s="1"/>
  <c r="AJ35" i="2"/>
  <c r="AV35" i="2" s="1"/>
  <c r="AA56" i="2"/>
  <c r="AM56" i="2" s="1"/>
  <c r="AJ49" i="2"/>
  <c r="AV49" i="2" s="1"/>
  <c r="AF48" i="2"/>
  <c r="AR48" i="2" s="1"/>
  <c r="Y40" i="2"/>
  <c r="AK40" i="2" s="1"/>
  <c r="AA50" i="2"/>
  <c r="AM50" i="2" s="1"/>
  <c r="AG64" i="2"/>
  <c r="AS64" i="2" s="1"/>
  <c r="AG62" i="2"/>
  <c r="AS62" i="2" s="1"/>
  <c r="AI47" i="2"/>
  <c r="AU47" i="2" s="1"/>
  <c r="AA48" i="2"/>
  <c r="AM48" i="2" s="1"/>
  <c r="AE43" i="2"/>
  <c r="AQ43" i="2" s="1"/>
  <c r="AJ40" i="2"/>
  <c r="AV40" i="2" s="1"/>
  <c r="AI50" i="2"/>
  <c r="AU50" i="2" s="1"/>
  <c r="AF37" i="2"/>
  <c r="AR37" i="2" s="1"/>
  <c r="AE35" i="2"/>
  <c r="AQ35" i="2" s="1"/>
  <c r="AG49" i="2"/>
  <c r="AS49" i="2" s="1"/>
  <c r="AB48" i="2"/>
  <c r="AN48" i="2" s="1"/>
  <c r="AD44" i="2"/>
  <c r="AP44" i="2" s="1"/>
  <c r="AG44" i="2"/>
  <c r="AS44" i="2" s="1"/>
  <c r="AD34" i="2"/>
  <c r="AP34" i="2" s="1"/>
  <c r="AC34" i="2"/>
  <c r="AO34" i="2" s="1"/>
  <c r="AJ34" i="2"/>
  <c r="AV34" i="2" s="1"/>
  <c r="Y34" i="2"/>
  <c r="AK34" i="2" s="1"/>
  <c r="AI60" i="2"/>
  <c r="AU60" i="2" s="1"/>
  <c r="AC47" i="2"/>
  <c r="AO47" i="2" s="1"/>
  <c r="AF34" i="2"/>
  <c r="AR34" i="2" s="1"/>
  <c r="Y32" i="2"/>
  <c r="AK32" i="2" s="1"/>
  <c r="Y36" i="2"/>
  <c r="AK36" i="2" s="1"/>
  <c r="AJ63" i="2"/>
  <c r="AV63" i="2" s="1"/>
  <c r="AJ28" i="2"/>
  <c r="AV28" i="2" s="1"/>
  <c r="Z28" i="2"/>
  <c r="AL28" i="2" s="1"/>
  <c r="AE64" i="2"/>
  <c r="AQ64" i="2" s="1"/>
  <c r="AA64" i="2"/>
  <c r="AM64" i="2" s="1"/>
  <c r="AC64" i="2"/>
  <c r="AO64" i="2" s="1"/>
  <c r="AJ64" i="2"/>
  <c r="AV64" i="2" s="1"/>
  <c r="Y57" i="2"/>
  <c r="AK57" i="2" s="1"/>
  <c r="AD42" i="2"/>
  <c r="AP42" i="2" s="1"/>
  <c r="AF42" i="2"/>
  <c r="AR42" i="2" s="1"/>
  <c r="AJ42" i="2"/>
  <c r="AV42" i="2" s="1"/>
  <c r="AH42" i="2"/>
  <c r="AT42" i="2" s="1"/>
  <c r="AG42" i="2"/>
  <c r="AS42" i="2" s="1"/>
  <c r="AD32" i="2"/>
  <c r="AP32" i="2" s="1"/>
  <c r="AG32" i="2"/>
  <c r="AS32" i="2" s="1"/>
  <c r="AA32" i="2"/>
  <c r="AM32" i="2" s="1"/>
  <c r="AE32" i="2"/>
  <c r="AQ32" i="2" s="1"/>
  <c r="AJ32" i="2"/>
  <c r="AV32" i="2" s="1"/>
  <c r="AC32" i="2"/>
  <c r="AO32" i="2" s="1"/>
  <c r="AB36" i="2"/>
  <c r="AN36" i="2" s="1"/>
  <c r="AH36" i="2"/>
  <c r="AT36" i="2" s="1"/>
  <c r="Z36" i="2"/>
  <c r="AL36" i="2" s="1"/>
  <c r="AG36" i="2"/>
  <c r="AS36" i="2" s="1"/>
  <c r="AF36" i="2"/>
  <c r="AR36" i="2" s="1"/>
  <c r="AA38" i="2"/>
  <c r="AM38" i="2" s="1"/>
  <c r="AI38" i="2"/>
  <c r="AU38" i="2" s="1"/>
  <c r="AH38" i="2"/>
  <c r="AT38" i="2" s="1"/>
  <c r="Z38" i="2"/>
  <c r="AL38" i="2" s="1"/>
  <c r="AC38" i="2"/>
  <c r="AO38" i="2" s="1"/>
  <c r="Y42" i="2"/>
  <c r="AK42" i="2" s="1"/>
  <c r="AF68" i="2"/>
  <c r="AR68" i="2" s="1"/>
  <c r="Z60" i="2"/>
  <c r="AL60" i="2" s="1"/>
  <c r="AF60" i="2"/>
  <c r="AR60" i="2" s="1"/>
  <c r="AA57" i="2"/>
  <c r="AM57" i="2" s="1"/>
  <c r="Z57" i="2"/>
  <c r="AL57" i="2" s="1"/>
  <c r="AD54" i="2"/>
  <c r="AP54" i="2" s="1"/>
  <c r="AE54" i="2"/>
  <c r="AQ54" i="2" s="1"/>
  <c r="Z44" i="2"/>
  <c r="AL44" i="2" s="1"/>
  <c r="AI41" i="2"/>
  <c r="AU41" i="2" s="1"/>
  <c r="Z41" i="2"/>
  <c r="AL41" i="2" s="1"/>
  <c r="Y41" i="2"/>
  <c r="AK41" i="2" s="1"/>
  <c r="AD41" i="2"/>
  <c r="AP41" i="2" s="1"/>
  <c r="AC41" i="2"/>
  <c r="AO41" i="2" s="1"/>
  <c r="AJ41" i="2"/>
  <c r="AV41" i="2" s="1"/>
  <c r="AB32" i="2"/>
  <c r="AN32" i="2" s="1"/>
  <c r="AA65" i="2"/>
  <c r="AM65" i="2" s="1"/>
  <c r="Y29" i="2"/>
  <c r="AK29" i="2" s="1"/>
  <c r="AF52" i="2"/>
  <c r="AR52" i="2" s="1"/>
  <c r="AF62" i="2"/>
  <c r="AR62" i="2" s="1"/>
  <c r="AB33" i="2"/>
  <c r="AN33" i="2" s="1"/>
  <c r="AJ48" i="2"/>
  <c r="AV48" i="2" s="1"/>
  <c r="AD45" i="2"/>
  <c r="AP45" i="2" s="1"/>
  <c r="AF40" i="2"/>
  <c r="AR40" i="2" s="1"/>
  <c r="Z50" i="2"/>
  <c r="AL50" i="2" s="1"/>
  <c r="AJ65" i="2"/>
  <c r="AV65" i="2" s="1"/>
  <c r="AF69" i="2"/>
  <c r="AR69" i="2" s="1"/>
  <c r="AG53" i="2"/>
  <c r="AS53" i="2" s="1"/>
  <c r="Z62" i="2"/>
  <c r="AL62" i="2" s="1"/>
  <c r="AA33" i="2"/>
  <c r="AM33" i="2" s="1"/>
  <c r="AA43" i="2"/>
  <c r="AM43" i="2" s="1"/>
  <c r="AI40" i="2"/>
  <c r="AU40" i="2" s="1"/>
  <c r="AB65" i="2"/>
  <c r="AN65" i="2" s="1"/>
  <c r="AF65" i="2"/>
  <c r="AR65" i="2" s="1"/>
  <c r="Y66" i="2"/>
  <c r="AK66" i="2" s="1"/>
  <c r="AE48" i="2"/>
  <c r="AQ48" i="2" s="1"/>
  <c r="AB45" i="2"/>
  <c r="AN45" i="2" s="1"/>
  <c r="AC43" i="2"/>
  <c r="AO43" i="2" s="1"/>
  <c r="AE33" i="2"/>
  <c r="AQ33" i="2" s="1"/>
  <c r="AC46" i="2"/>
  <c r="AO46" i="2" s="1"/>
  <c r="AD33" i="2"/>
  <c r="AP33" i="2" s="1"/>
  <c r="AG33" i="2"/>
  <c r="AS33" i="2" s="1"/>
  <c r="AF43" i="2"/>
  <c r="AR43" i="2" s="1"/>
  <c r="AI46" i="2"/>
  <c r="AU46" i="2" s="1"/>
  <c r="Y75" i="2"/>
  <c r="AK75" i="2" s="1"/>
  <c r="AD27" i="2"/>
  <c r="AP27" i="2" s="1"/>
  <c r="AE68" i="2"/>
  <c r="AQ68" i="2" s="1"/>
  <c r="AD73" i="2"/>
  <c r="AP73" i="2" s="1"/>
  <c r="AE27" i="2"/>
  <c r="AQ27" i="2" s="1"/>
  <c r="AI52" i="2"/>
  <c r="AU52" i="2" s="1"/>
  <c r="AG60" i="2"/>
  <c r="AS60" i="2" s="1"/>
  <c r="AJ57" i="2"/>
  <c r="AV57" i="2" s="1"/>
  <c r="AD52" i="2"/>
  <c r="AP52" i="2" s="1"/>
  <c r="AF57" i="2"/>
  <c r="AR57" i="2" s="1"/>
  <c r="AJ62" i="2"/>
  <c r="AV62" i="2" s="1"/>
  <c r="Y44" i="2"/>
  <c r="AK44" i="2" s="1"/>
  <c r="AB49" i="2"/>
  <c r="AN49" i="2" s="1"/>
  <c r="AA47" i="2"/>
  <c r="AM47" i="2" s="1"/>
  <c r="Y49" i="2"/>
  <c r="AK49" i="2" s="1"/>
  <c r="Y48" i="2"/>
  <c r="AK48" i="2" s="1"/>
  <c r="Y39" i="2"/>
  <c r="AK39" i="2" s="1"/>
  <c r="AD39" i="2"/>
  <c r="AP39" i="2" s="1"/>
  <c r="AG41" i="2"/>
  <c r="AS41" i="2" s="1"/>
  <c r="AE41" i="2"/>
  <c r="AQ41" i="2" s="1"/>
  <c r="AG34" i="2"/>
  <c r="AS34" i="2" s="1"/>
  <c r="AG45" i="2"/>
  <c r="AS45" i="2" s="1"/>
  <c r="AE45" i="2"/>
  <c r="AQ45" i="2" s="1"/>
  <c r="AI43" i="2"/>
  <c r="AU43" i="2" s="1"/>
  <c r="AA36" i="2"/>
  <c r="AM36" i="2" s="1"/>
  <c r="AF38" i="2"/>
  <c r="AR38" i="2" s="1"/>
  <c r="AJ38" i="2"/>
  <c r="AV38" i="2" s="1"/>
  <c r="AG40" i="2"/>
  <c r="AS40" i="2" s="1"/>
  <c r="AA42" i="2"/>
  <c r="AM42" i="2" s="1"/>
  <c r="AD50" i="2"/>
  <c r="AP50" i="2" s="1"/>
  <c r="AB50" i="2"/>
  <c r="AN50" i="2" s="1"/>
  <c r="AE46" i="2"/>
  <c r="AQ46" i="2" s="1"/>
  <c r="AB46" i="2"/>
  <c r="AN46" i="2" s="1"/>
  <c r="Z35" i="2"/>
  <c r="AL35" i="2" s="1"/>
  <c r="AH35" i="2"/>
  <c r="AT35" i="2" s="1"/>
  <c r="AH41" i="2"/>
  <c r="AT41" i="2" s="1"/>
  <c r="AC65" i="2"/>
  <c r="AO65" i="2" s="1"/>
  <c r="Z75" i="2"/>
  <c r="AL75" i="2" s="1"/>
  <c r="AC29" i="2"/>
  <c r="AO29" i="2" s="1"/>
  <c r="AF27" i="2"/>
  <c r="AR27" i="2" s="1"/>
  <c r="Z67" i="2"/>
  <c r="AL67" i="2" s="1"/>
  <c r="AG69" i="2"/>
  <c r="AS69" i="2" s="1"/>
  <c r="AB60" i="2"/>
  <c r="AN60" i="2" s="1"/>
  <c r="AA52" i="2"/>
  <c r="AM52" i="2" s="1"/>
  <c r="Y60" i="2"/>
  <c r="AK60" i="2" s="1"/>
  <c r="AB57" i="2"/>
  <c r="AN57" i="2" s="1"/>
  <c r="AI53" i="2"/>
  <c r="AU53" i="2" s="1"/>
  <c r="AD30" i="2"/>
  <c r="AP30" i="2" s="1"/>
  <c r="AF53" i="2"/>
  <c r="AR53" i="2" s="1"/>
  <c r="AA44" i="2"/>
  <c r="AM44" i="2" s="1"/>
  <c r="Z32" i="2"/>
  <c r="AL32" i="2" s="1"/>
  <c r="AC33" i="2"/>
  <c r="AO33" i="2" s="1"/>
  <c r="AJ47" i="2"/>
  <c r="AV47" i="2" s="1"/>
  <c r="AE44" i="2"/>
  <c r="AQ44" i="2" s="1"/>
  <c r="AG47" i="2"/>
  <c r="AS47" i="2" s="1"/>
  <c r="AG31" i="2"/>
  <c r="AS31" i="2" s="1"/>
  <c r="AG48" i="2"/>
  <c r="AS48" i="2" s="1"/>
  <c r="AG39" i="2"/>
  <c r="AS39" i="2" s="1"/>
  <c r="AE39" i="2"/>
  <c r="AQ39" i="2" s="1"/>
  <c r="AA41" i="2"/>
  <c r="AM41" i="2" s="1"/>
  <c r="AF41" i="2"/>
  <c r="AR41" i="2" s="1"/>
  <c r="Z34" i="2"/>
  <c r="AL34" i="2" s="1"/>
  <c r="AA45" i="2"/>
  <c r="AM45" i="2" s="1"/>
  <c r="AF45" i="2"/>
  <c r="AR45" i="2" s="1"/>
  <c r="AB43" i="2"/>
  <c r="AN43" i="2" s="1"/>
  <c r="AC36" i="2"/>
  <c r="AO36" i="2" s="1"/>
  <c r="AI36" i="2"/>
  <c r="AU36" i="2" s="1"/>
  <c r="Y38" i="2"/>
  <c r="AK38" i="2" s="1"/>
  <c r="Z40" i="2"/>
  <c r="AL40" i="2" s="1"/>
  <c r="AC42" i="2"/>
  <c r="AO42" i="2" s="1"/>
  <c r="AI42" i="2"/>
  <c r="AU42" i="2" s="1"/>
  <c r="AF50" i="2"/>
  <c r="AR50" i="2" s="1"/>
  <c r="AJ50" i="2"/>
  <c r="AV50" i="2" s="1"/>
  <c r="AC37" i="2"/>
  <c r="AO37" i="2" s="1"/>
  <c r="AF46" i="2"/>
  <c r="AR46" i="2" s="1"/>
  <c r="AJ46" i="2"/>
  <c r="AV46" i="2" s="1"/>
  <c r="AC35" i="2"/>
  <c r="AO35" i="2" s="1"/>
  <c r="AD38" i="2"/>
  <c r="AP38" i="2" s="1"/>
  <c r="AF61" i="2"/>
  <c r="AR61" i="2" s="1"/>
  <c r="K11" i="18"/>
  <c r="W11" i="18" s="1"/>
  <c r="AI69" i="2"/>
  <c r="AU69" i="2" s="1"/>
  <c r="AD61" i="2"/>
  <c r="AP61" i="2" s="1"/>
  <c r="AG52" i="2"/>
  <c r="AS52" i="2" s="1"/>
  <c r="AG61" i="2"/>
  <c r="AS61" i="2" s="1"/>
  <c r="AD31" i="2"/>
  <c r="AP31" i="2" s="1"/>
  <c r="AF33" i="2"/>
  <c r="AR33" i="2" s="1"/>
  <c r="Z33" i="2"/>
  <c r="AL33" i="2" s="1"/>
  <c r="AH33" i="2"/>
  <c r="AT33" i="2" s="1"/>
  <c r="AB47" i="2"/>
  <c r="AN47" i="2" s="1"/>
  <c r="AI33" i="2"/>
  <c r="AU33" i="2" s="1"/>
  <c r="Y47" i="2"/>
  <c r="AK47" i="2" s="1"/>
  <c r="Y31" i="2"/>
  <c r="AK31" i="2" s="1"/>
  <c r="Z48" i="2"/>
  <c r="AL48" i="2" s="1"/>
  <c r="AA39" i="2"/>
  <c r="AM39" i="2" s="1"/>
  <c r="AF39" i="2"/>
  <c r="AR39" i="2" s="1"/>
  <c r="AH34" i="2"/>
  <c r="AT34" i="2" s="1"/>
  <c r="AF44" i="2"/>
  <c r="AR44" i="2" s="1"/>
  <c r="AJ43" i="2"/>
  <c r="AV43" i="2" s="1"/>
  <c r="AE36" i="2"/>
  <c r="AQ36" i="2" s="1"/>
  <c r="AG38" i="2"/>
  <c r="AS38" i="2" s="1"/>
  <c r="AI44" i="2"/>
  <c r="AU44" i="2" s="1"/>
  <c r="AH40" i="2"/>
  <c r="AT40" i="2" s="1"/>
  <c r="AE42" i="2"/>
  <c r="AQ42" i="2" s="1"/>
  <c r="AB42" i="2"/>
  <c r="AN42" i="2" s="1"/>
  <c r="Y50" i="2"/>
  <c r="AK50" i="2" s="1"/>
  <c r="Y37" i="2"/>
  <c r="AK37" i="2" s="1"/>
  <c r="Y46" i="2"/>
  <c r="AK46" i="2" s="1"/>
  <c r="Y35" i="2"/>
  <c r="AK35" i="2" s="1"/>
  <c r="AD35" i="2"/>
  <c r="AP35" i="2" s="1"/>
  <c r="AH43" i="2"/>
  <c r="AT43" i="2" s="1"/>
  <c r="Z27" i="2"/>
  <c r="AL27" i="2" s="1"/>
  <c r="AB52" i="2"/>
  <c r="AN52" i="2" s="1"/>
  <c r="AH60" i="2"/>
  <c r="AT60" i="2" s="1"/>
  <c r="AC57" i="2"/>
  <c r="AO57" i="2" s="1"/>
  <c r="Y52" i="2"/>
  <c r="AK52" i="2" s="1"/>
  <c r="AE52" i="2"/>
  <c r="AQ52" i="2" s="1"/>
  <c r="Y61" i="2"/>
  <c r="AK61" i="2" s="1"/>
  <c r="AD49" i="2"/>
  <c r="AP49" i="2" s="1"/>
  <c r="AC44" i="2"/>
  <c r="AO44" i="2" s="1"/>
  <c r="AH48" i="2"/>
  <c r="AT48" i="2" s="1"/>
  <c r="AI39" i="2"/>
  <c r="AU39" i="2" s="1"/>
  <c r="AA34" i="2"/>
  <c r="AM34" i="2" s="1"/>
  <c r="AB44" i="2"/>
  <c r="AN44" i="2" s="1"/>
  <c r="AA40" i="2"/>
  <c r="AM40" i="2" s="1"/>
  <c r="AG46" i="2"/>
  <c r="AS46" i="2" s="1"/>
  <c r="AD40" i="2"/>
  <c r="AP40" i="2" s="1"/>
  <c r="AH27" i="2"/>
  <c r="AT27" i="2" s="1"/>
  <c r="AG68" i="2"/>
  <c r="AS68" i="2" s="1"/>
  <c r="AD47" i="2"/>
  <c r="AP47" i="2" s="1"/>
  <c r="AF49" i="2"/>
  <c r="AR49" i="2" s="1"/>
  <c r="Z49" i="2"/>
  <c r="AL49" i="2" s="1"/>
  <c r="AH49" i="2"/>
  <c r="AT49" i="2" s="1"/>
  <c r="AJ44" i="2"/>
  <c r="AV44" i="2" s="1"/>
  <c r="AE31" i="2"/>
  <c r="AQ31" i="2" s="1"/>
  <c r="AD55" i="2"/>
  <c r="AP55" i="2" s="1"/>
  <c r="Z61" i="2"/>
  <c r="AL61" i="2" s="1"/>
  <c r="AB31" i="2"/>
  <c r="AN31" i="2" s="1"/>
  <c r="AA27" i="2"/>
  <c r="AM27" i="2" s="1"/>
  <c r="AH68" i="2"/>
  <c r="AT68" i="2" s="1"/>
  <c r="Y73" i="2"/>
  <c r="AK73" i="2" s="1"/>
  <c r="AA60" i="2"/>
  <c r="AM60" i="2" s="1"/>
  <c r="AJ61" i="2"/>
  <c r="AV61" i="2" s="1"/>
  <c r="AI61" i="2"/>
  <c r="AU61" i="2" s="1"/>
  <c r="AD60" i="2"/>
  <c r="AP60" i="2" s="1"/>
  <c r="AH44" i="2"/>
  <c r="AT44" i="2" s="1"/>
  <c r="AC31" i="2"/>
  <c r="AO31" i="2" s="1"/>
  <c r="AI49" i="2"/>
  <c r="AU49" i="2" s="1"/>
  <c r="AI31" i="2"/>
  <c r="AU31" i="2" s="1"/>
  <c r="AD48" i="2"/>
  <c r="AP48" i="2" s="1"/>
  <c r="AJ39" i="2"/>
  <c r="AV39" i="2" s="1"/>
  <c r="AE34" i="2"/>
  <c r="AQ34" i="2" s="1"/>
  <c r="AB34" i="2"/>
  <c r="AN34" i="2" s="1"/>
  <c r="AH45" i="2"/>
  <c r="AT45" i="2" s="1"/>
  <c r="Z45" i="2"/>
  <c r="AL45" i="2" s="1"/>
  <c r="Y43" i="2"/>
  <c r="AK43" i="2" s="1"/>
  <c r="AD43" i="2"/>
  <c r="AP43" i="2" s="1"/>
  <c r="AE40" i="2"/>
  <c r="AQ40" i="2" s="1"/>
  <c r="AE49" i="2"/>
  <c r="AQ49" i="2" s="1"/>
  <c r="AH46" i="2"/>
  <c r="AT46" i="2" s="1"/>
  <c r="AF32" i="2"/>
  <c r="AR32" i="2" s="1"/>
  <c r="Z39" i="2"/>
  <c r="AL39" i="2" s="1"/>
  <c r="AB27" i="2"/>
  <c r="AN27" i="2" s="1"/>
  <c r="AI68" i="2"/>
  <c r="AU68" i="2" s="1"/>
  <c r="AH73" i="2"/>
  <c r="AT73" i="2" s="1"/>
  <c r="Z26" i="2"/>
  <c r="AL26" i="2" s="1"/>
  <c r="AC61" i="2"/>
  <c r="AO61" i="2" s="1"/>
  <c r="AA61" i="2"/>
  <c r="AM61" i="2" s="1"/>
  <c r="AH57" i="2"/>
  <c r="AT57" i="2" s="1"/>
  <c r="AG57" i="2"/>
  <c r="AS57" i="2" s="1"/>
  <c r="AE57" i="2"/>
  <c r="AQ57" i="2" s="1"/>
  <c r="AF47" i="2"/>
  <c r="AR47" i="2" s="1"/>
  <c r="AH47" i="2"/>
  <c r="AT47" i="2" s="1"/>
  <c r="Z47" i="2"/>
  <c r="AL47" i="2" s="1"/>
  <c r="AF31" i="2"/>
  <c r="AR31" i="2" s="1"/>
  <c r="Z31" i="2"/>
  <c r="AL31" i="2" s="1"/>
  <c r="AH31" i="2"/>
  <c r="AT31" i="2" s="1"/>
  <c r="AA49" i="2"/>
  <c r="AM49" i="2" s="1"/>
  <c r="AA31" i="2"/>
  <c r="AM31" i="2" s="1"/>
  <c r="AE47" i="2"/>
  <c r="AQ47" i="2" s="1"/>
  <c r="AA46" i="2"/>
  <c r="AM46" i="2" s="1"/>
  <c r="AG59" i="2"/>
  <c r="AS59" i="2" s="1"/>
  <c r="AC63" i="2"/>
  <c r="AO63" i="2" s="1"/>
  <c r="AH74" i="2"/>
  <c r="AT74" i="2" s="1"/>
  <c r="AD72" i="2"/>
  <c r="AP72" i="2" s="1"/>
  <c r="Y69" i="2"/>
  <c r="AK69" i="2" s="1"/>
  <c r="AD26" i="2"/>
  <c r="AP26" i="2" s="1"/>
  <c r="AB30" i="2"/>
  <c r="AN30" i="2" s="1"/>
  <c r="AI54" i="2"/>
  <c r="AU54" i="2" s="1"/>
  <c r="AD59" i="2"/>
  <c r="AP59" i="2" s="1"/>
  <c r="AI55" i="2"/>
  <c r="AU55" i="2" s="1"/>
  <c r="AE30" i="2"/>
  <c r="AQ30" i="2" s="1"/>
  <c r="Y59" i="2"/>
  <c r="AK59" i="2" s="1"/>
  <c r="AF63" i="2"/>
  <c r="AR63" i="2" s="1"/>
  <c r="AI74" i="2"/>
  <c r="AU74" i="2" s="1"/>
  <c r="AE71" i="2"/>
  <c r="AQ71" i="2" s="1"/>
  <c r="Z29" i="2"/>
  <c r="AL29" i="2" s="1"/>
  <c r="AG27" i="2"/>
  <c r="AS27" i="2" s="1"/>
  <c r="AC27" i="2"/>
  <c r="AO27" i="2" s="1"/>
  <c r="AJ76" i="2"/>
  <c r="AV76" i="2" s="1"/>
  <c r="Y68" i="2"/>
  <c r="AK68" i="2" s="1"/>
  <c r="Z69" i="2"/>
  <c r="AL69" i="2" s="1"/>
  <c r="AD66" i="2"/>
  <c r="AP66" i="2" s="1"/>
  <c r="AF26" i="2"/>
  <c r="AR26" i="2" s="1"/>
  <c r="AE61" i="2"/>
  <c r="AQ61" i="2" s="1"/>
  <c r="AA54" i="2"/>
  <c r="AM54" i="2" s="1"/>
  <c r="AD57" i="2"/>
  <c r="AP57" i="2" s="1"/>
  <c r="AC59" i="2"/>
  <c r="AO59" i="2" s="1"/>
  <c r="AC55" i="2"/>
  <c r="AO55" i="2" s="1"/>
  <c r="AC51" i="2"/>
  <c r="AO51" i="2" s="1"/>
  <c r="AB59" i="2"/>
  <c r="AN59" i="2" s="1"/>
  <c r="AJ53" i="2"/>
  <c r="AV53" i="2" s="1"/>
  <c r="AE60" i="2"/>
  <c r="AQ60" i="2" s="1"/>
  <c r="AA55" i="2"/>
  <c r="AM55" i="2" s="1"/>
  <c r="AH61" i="2"/>
  <c r="AT61" i="2" s="1"/>
  <c r="AD56" i="2"/>
  <c r="AP56" i="2" s="1"/>
  <c r="Z51" i="2"/>
  <c r="AL51" i="2" s="1"/>
  <c r="AC54" i="2"/>
  <c r="AO54" i="2" s="1"/>
  <c r="AJ60" i="2"/>
  <c r="AV60" i="2" s="1"/>
  <c r="AJ52" i="2"/>
  <c r="AV52" i="2" s="1"/>
  <c r="Y62" i="2"/>
  <c r="AK62" i="2" s="1"/>
  <c r="AH58" i="2"/>
  <c r="AT58" i="2" s="1"/>
  <c r="Z58" i="2"/>
  <c r="AL58" i="2" s="1"/>
  <c r="AH30" i="2"/>
  <c r="AT30" i="2" s="1"/>
  <c r="Z30" i="2"/>
  <c r="AL30" i="2" s="1"/>
  <c r="AF51" i="2"/>
  <c r="AR51" i="2" s="1"/>
  <c r="AC74" i="2"/>
  <c r="AO74" i="2" s="1"/>
  <c r="AH26" i="2"/>
  <c r="AT26" i="2" s="1"/>
  <c r="AG58" i="2"/>
  <c r="AS58" i="2" s="1"/>
  <c r="AG54" i="2"/>
  <c r="AS54" i="2" s="1"/>
  <c r="AG30" i="2"/>
  <c r="AS30" i="2" s="1"/>
  <c r="AA59" i="2"/>
  <c r="AM59" i="2" s="1"/>
  <c r="Z55" i="2"/>
  <c r="AL55" i="2" s="1"/>
  <c r="AE59" i="2"/>
  <c r="AQ59" i="2" s="1"/>
  <c r="AJ58" i="2"/>
  <c r="AV58" i="2" s="1"/>
  <c r="AJ30" i="2"/>
  <c r="AV30" i="2" s="1"/>
  <c r="AI59" i="2"/>
  <c r="AU59" i="2" s="1"/>
  <c r="Z71" i="2"/>
  <c r="AL71" i="2" s="1"/>
  <c r="AD76" i="2"/>
  <c r="AP76" i="2" s="1"/>
  <c r="AG63" i="2"/>
  <c r="AS63" i="2" s="1"/>
  <c r="AD28" i="2"/>
  <c r="AP28" i="2" s="1"/>
  <c r="AE74" i="2"/>
  <c r="AQ74" i="2" s="1"/>
  <c r="AH71" i="2"/>
  <c r="AT71" i="2" s="1"/>
  <c r="AG76" i="2"/>
  <c r="AS76" i="2" s="1"/>
  <c r="AE76" i="2"/>
  <c r="AQ76" i="2" s="1"/>
  <c r="AI26" i="2"/>
  <c r="AU26" i="2" s="1"/>
  <c r="AB58" i="2"/>
  <c r="AN58" i="2" s="1"/>
  <c r="AI58" i="2"/>
  <c r="AU58" i="2" s="1"/>
  <c r="AI30" i="2"/>
  <c r="AU30" i="2" s="1"/>
  <c r="AD51" i="2"/>
  <c r="AP51" i="2" s="1"/>
  <c r="Y58" i="2"/>
  <c r="AK58" i="2" s="1"/>
  <c r="Y54" i="2"/>
  <c r="AK54" i="2" s="1"/>
  <c r="Y30" i="2"/>
  <c r="AK30" i="2" s="1"/>
  <c r="AJ51" i="2"/>
  <c r="AV51" i="2" s="1"/>
  <c r="AE58" i="2"/>
  <c r="AQ58" i="2" s="1"/>
  <c r="AH59" i="2"/>
  <c r="AT59" i="2" s="1"/>
  <c r="AH62" i="2"/>
  <c r="AT62" i="2" s="1"/>
  <c r="AH55" i="2"/>
  <c r="AT55" i="2" s="1"/>
  <c r="AH54" i="2"/>
  <c r="AT54" i="2" s="1"/>
  <c r="Z54" i="2"/>
  <c r="AL54" i="2" s="1"/>
  <c r="AF59" i="2"/>
  <c r="AR59" i="2" s="1"/>
  <c r="AG66" i="2"/>
  <c r="AS66" i="2" s="1"/>
  <c r="AH63" i="2"/>
  <c r="AT63" i="2" s="1"/>
  <c r="AG26" i="2"/>
  <c r="AS26" i="2" s="1"/>
  <c r="AG71" i="2"/>
  <c r="AS71" i="2" s="1"/>
  <c r="AI27" i="2"/>
  <c r="AU27" i="2" s="1"/>
  <c r="AH76" i="2"/>
  <c r="AT76" i="2" s="1"/>
  <c r="Z72" i="2"/>
  <c r="AL72" i="2" s="1"/>
  <c r="AC69" i="2"/>
  <c r="AO69" i="2" s="1"/>
  <c r="AB26" i="2"/>
  <c r="AN26" i="2" s="1"/>
  <c r="AA58" i="2"/>
  <c r="AM58" i="2" s="1"/>
  <c r="AA30" i="2"/>
  <c r="AM30" i="2" s="1"/>
  <c r="AB51" i="2"/>
  <c r="AN51" i="2" s="1"/>
  <c r="AI57" i="2"/>
  <c r="AU57" i="2" s="1"/>
  <c r="Z59" i="2"/>
  <c r="AL59" i="2" s="1"/>
  <c r="AH53" i="2"/>
  <c r="AT53" i="2" s="1"/>
  <c r="AC60" i="2"/>
  <c r="AO60" i="2" s="1"/>
  <c r="AC56" i="2"/>
  <c r="AO56" i="2" s="1"/>
  <c r="AE55" i="2"/>
  <c r="AQ55" i="2" s="1"/>
  <c r="AC62" i="2"/>
  <c r="AO62" i="2" s="1"/>
  <c r="AA62" i="2"/>
  <c r="AM62" i="2" s="1"/>
  <c r="R11" i="18"/>
  <c r="AD11" i="18" s="1"/>
  <c r="AI63" i="2"/>
  <c r="AU63" i="2" s="1"/>
  <c r="Y74" i="2"/>
  <c r="AK74" i="2" s="1"/>
  <c r="Y26" i="2"/>
  <c r="AK26" i="2" s="1"/>
  <c r="AI71" i="2"/>
  <c r="AU71" i="2" s="1"/>
  <c r="AJ27" i="2"/>
  <c r="AV27" i="2" s="1"/>
  <c r="Y76" i="2"/>
  <c r="AK76" i="2" s="1"/>
  <c r="Y72" i="2"/>
  <c r="AK72" i="2" s="1"/>
  <c r="AC68" i="2"/>
  <c r="AO68" i="2" s="1"/>
  <c r="AE69" i="2"/>
  <c r="AQ69" i="2" s="1"/>
  <c r="AJ26" i="2"/>
  <c r="AV26" i="2" s="1"/>
  <c r="AB54" i="2"/>
  <c r="AN54" i="2" s="1"/>
  <c r="AJ55" i="2"/>
  <c r="AV55" i="2" s="1"/>
  <c r="AF30" i="2"/>
  <c r="AR30" i="2" s="1"/>
  <c r="AI51" i="2"/>
  <c r="AU51" i="2" s="1"/>
  <c r="AD58" i="2"/>
  <c r="AP58" i="2" s="1"/>
  <c r="Z53" i="2"/>
  <c r="AL53" i="2" s="1"/>
  <c r="AH56" i="2"/>
  <c r="AT56" i="2" s="1"/>
  <c r="Z56" i="2"/>
  <c r="AL56" i="2" s="1"/>
  <c r="AH52" i="2"/>
  <c r="AT52" i="2" s="1"/>
  <c r="Z52" i="2"/>
  <c r="AL52" i="2" s="1"/>
  <c r="AF55" i="2"/>
  <c r="AR55" i="2" s="1"/>
  <c r="AD62" i="2"/>
  <c r="AP62" i="2" s="1"/>
  <c r="AB55" i="2"/>
  <c r="AN55" i="2" s="1"/>
  <c r="AA51" i="2"/>
  <c r="AM51" i="2" s="1"/>
  <c r="AG74" i="2"/>
  <c r="AS74" i="2" s="1"/>
  <c r="AI76" i="2"/>
  <c r="AU76" i="2" s="1"/>
  <c r="AG55" i="2"/>
  <c r="AS55" i="2" s="1"/>
  <c r="AG51" i="2"/>
  <c r="AS51" i="2" s="1"/>
  <c r="AE51" i="2"/>
  <c r="AQ51" i="2" s="1"/>
  <c r="AJ54" i="2"/>
  <c r="AV54" i="2" s="1"/>
  <c r="AC71" i="2"/>
  <c r="AO71" i="2" s="1"/>
  <c r="AB76" i="2"/>
  <c r="AN76" i="2" s="1"/>
  <c r="AF54" i="2"/>
  <c r="AR54" i="2" s="1"/>
  <c r="AH51" i="2"/>
  <c r="AT51" i="2" s="1"/>
  <c r="Z65" i="2"/>
  <c r="AL65" i="2" s="1"/>
  <c r="AD65" i="2"/>
  <c r="AP65" i="2" s="1"/>
  <c r="AB63" i="2"/>
  <c r="AN63" i="2" s="1"/>
  <c r="AH28" i="2"/>
  <c r="AT28" i="2" s="1"/>
  <c r="AF28" i="2"/>
  <c r="AR28" i="2" s="1"/>
  <c r="AB74" i="2"/>
  <c r="AN74" i="2" s="1"/>
  <c r="AG70" i="2"/>
  <c r="AS70" i="2" s="1"/>
  <c r="AC70" i="2"/>
  <c r="AO70" i="2" s="1"/>
  <c r="AH75" i="2"/>
  <c r="AT75" i="2" s="1"/>
  <c r="AE75" i="2"/>
  <c r="AQ75" i="2" s="1"/>
  <c r="AB71" i="2"/>
  <c r="AN71" i="2" s="1"/>
  <c r="Z64" i="2"/>
  <c r="AL64" i="2" s="1"/>
  <c r="AD64" i="2"/>
  <c r="AP64" i="2" s="1"/>
  <c r="AG72" i="2"/>
  <c r="AS72" i="2" s="1"/>
  <c r="AE72" i="2"/>
  <c r="AQ72" i="2" s="1"/>
  <c r="AB68" i="2"/>
  <c r="AN68" i="2" s="1"/>
  <c r="AH67" i="2"/>
  <c r="AT67" i="2" s="1"/>
  <c r="AE67" i="2"/>
  <c r="AQ67" i="2" s="1"/>
  <c r="AG73" i="2"/>
  <c r="AS73" i="2" s="1"/>
  <c r="AE73" i="2"/>
  <c r="AQ73" i="2" s="1"/>
  <c r="AB69" i="2"/>
  <c r="AN69" i="2" s="1"/>
  <c r="AH66" i="2"/>
  <c r="AT66" i="2" s="1"/>
  <c r="AE66" i="2"/>
  <c r="AQ66" i="2" s="1"/>
  <c r="S12" i="18"/>
  <c r="AE12" i="18" s="1"/>
  <c r="AH65" i="2"/>
  <c r="AT65" i="2" s="1"/>
  <c r="AE65" i="2"/>
  <c r="AQ65" i="2" s="1"/>
  <c r="AA28" i="2"/>
  <c r="AM28" i="2" s="1"/>
  <c r="AJ74" i="2"/>
  <c r="AV74" i="2" s="1"/>
  <c r="Z70" i="2"/>
  <c r="AL70" i="2" s="1"/>
  <c r="AD70" i="2"/>
  <c r="AP70" i="2" s="1"/>
  <c r="AA75" i="2"/>
  <c r="AM75" i="2" s="1"/>
  <c r="AF75" i="2"/>
  <c r="AR75" i="2" s="1"/>
  <c r="AJ71" i="2"/>
  <c r="AV71" i="2" s="1"/>
  <c r="AH64" i="2"/>
  <c r="AT64" i="2" s="1"/>
  <c r="AF64" i="2"/>
  <c r="AR64" i="2" s="1"/>
  <c r="Z76" i="2"/>
  <c r="AL76" i="2" s="1"/>
  <c r="AC76" i="2"/>
  <c r="AO76" i="2" s="1"/>
  <c r="AA72" i="2"/>
  <c r="AM72" i="2" s="1"/>
  <c r="AF72" i="2"/>
  <c r="AR72" i="2" s="1"/>
  <c r="AJ68" i="2"/>
  <c r="AV68" i="2" s="1"/>
  <c r="AA67" i="2"/>
  <c r="AM67" i="2" s="1"/>
  <c r="AF67" i="2"/>
  <c r="AR67" i="2" s="1"/>
  <c r="AA73" i="2"/>
  <c r="AM73" i="2" s="1"/>
  <c r="AF73" i="2"/>
  <c r="AR73" i="2" s="1"/>
  <c r="AJ69" i="2"/>
  <c r="AV69" i="2" s="1"/>
  <c r="AA66" i="2"/>
  <c r="AM66" i="2" s="1"/>
  <c r="AF66" i="2"/>
  <c r="AR66" i="2" s="1"/>
  <c r="AC26" i="2"/>
  <c r="AO26" i="2" s="1"/>
  <c r="Y63" i="2"/>
  <c r="AK63" i="2" s="1"/>
  <c r="AE63" i="2"/>
  <c r="AQ63" i="2" s="1"/>
  <c r="AI28" i="2"/>
  <c r="AU28" i="2" s="1"/>
  <c r="AH70" i="2"/>
  <c r="AT70" i="2" s="1"/>
  <c r="AE70" i="2"/>
  <c r="AQ70" i="2" s="1"/>
  <c r="AI75" i="2"/>
  <c r="AU75" i="2" s="1"/>
  <c r="AI72" i="2"/>
  <c r="AU72" i="2" s="1"/>
  <c r="AI67" i="2"/>
  <c r="AU67" i="2" s="1"/>
  <c r="Y64" i="2"/>
  <c r="AK64" i="2" s="1"/>
  <c r="AI73" i="2"/>
  <c r="AU73" i="2" s="1"/>
  <c r="AI66" i="2"/>
  <c r="AU66" i="2" s="1"/>
  <c r="Y70" i="2"/>
  <c r="AK70" i="2" s="1"/>
  <c r="AB72" i="2"/>
  <c r="AN72" i="2" s="1"/>
  <c r="AB67" i="2"/>
  <c r="AN67" i="2" s="1"/>
  <c r="AB73" i="2"/>
  <c r="AN73" i="2" s="1"/>
  <c r="AB66" i="2"/>
  <c r="AN66" i="2" s="1"/>
  <c r="AB28" i="2"/>
  <c r="AN28" i="2" s="1"/>
  <c r="AA70" i="2"/>
  <c r="AM70" i="2" s="1"/>
  <c r="AF70" i="2"/>
  <c r="AR70" i="2" s="1"/>
  <c r="AB75" i="2"/>
  <c r="AN75" i="2" s="1"/>
  <c r="Z63" i="2"/>
  <c r="AL63" i="2" s="1"/>
  <c r="AD63" i="2"/>
  <c r="AP63" i="2" s="1"/>
  <c r="Z74" i="2"/>
  <c r="AL74" i="2" s="1"/>
  <c r="AD74" i="2"/>
  <c r="AP74" i="2" s="1"/>
  <c r="AI70" i="2"/>
  <c r="AU70" i="2" s="1"/>
  <c r="AJ75" i="2"/>
  <c r="AV75" i="2" s="1"/>
  <c r="Y71" i="2"/>
  <c r="AK71" i="2" s="1"/>
  <c r="AD71" i="2"/>
  <c r="AP71" i="2" s="1"/>
  <c r="AB64" i="2"/>
  <c r="AN64" i="2" s="1"/>
  <c r="AH29" i="2"/>
  <c r="AT29" i="2" s="1"/>
  <c r="AF29" i="2"/>
  <c r="AR29" i="2" s="1"/>
  <c r="AA76" i="2"/>
  <c r="AM76" i="2" s="1"/>
  <c r="AJ72" i="2"/>
  <c r="AV72" i="2" s="1"/>
  <c r="Z68" i="2"/>
  <c r="AL68" i="2" s="1"/>
  <c r="AD68" i="2"/>
  <c r="AP68" i="2" s="1"/>
  <c r="AJ67" i="2"/>
  <c r="AV67" i="2" s="1"/>
  <c r="AJ73" i="2"/>
  <c r="AV73" i="2" s="1"/>
  <c r="AH69" i="2"/>
  <c r="AT69" i="2" s="1"/>
  <c r="AD69" i="2"/>
  <c r="AP69" i="2" s="1"/>
  <c r="AJ66" i="2"/>
  <c r="AV66" i="2" s="1"/>
  <c r="AA26" i="2"/>
  <c r="AM26" i="2" s="1"/>
  <c r="AE28" i="2"/>
  <c r="AQ28" i="2" s="1"/>
  <c r="Y28" i="2"/>
  <c r="AK28" i="2" s="1"/>
  <c r="AB70" i="2"/>
  <c r="AN70" i="2" s="1"/>
  <c r="AG65" i="2"/>
  <c r="AS65" i="2" s="1"/>
  <c r="Y65" i="2"/>
  <c r="AK65" i="2" s="1"/>
  <c r="AA63" i="2"/>
  <c r="AM63" i="2" s="1"/>
  <c r="AG28" i="2"/>
  <c r="AS28" i="2" s="1"/>
  <c r="AC28" i="2"/>
  <c r="AO28" i="2" s="1"/>
  <c r="AA74" i="2"/>
  <c r="AM74" i="2" s="1"/>
  <c r="AG75" i="2"/>
  <c r="AS75" i="2" s="1"/>
  <c r="AA71" i="2"/>
  <c r="AM71" i="2" s="1"/>
  <c r="AH72" i="2"/>
  <c r="AT72" i="2" s="1"/>
  <c r="AA68" i="2"/>
  <c r="AM68" i="2" s="1"/>
  <c r="AC67" i="2"/>
  <c r="AO67" i="2" s="1"/>
  <c r="Z73" i="2"/>
  <c r="AL73" i="2" s="1"/>
  <c r="AA69" i="2"/>
  <c r="AM69" i="2" s="1"/>
  <c r="AC66" i="2"/>
  <c r="AO66" i="2" s="1"/>
  <c r="S11" i="18"/>
  <c r="AE11" i="18" s="1"/>
  <c r="T11" i="18"/>
  <c r="AF11" i="18" s="1"/>
  <c r="V11" i="18"/>
  <c r="AH11" i="18" s="1"/>
  <c r="R10" i="18"/>
  <c r="AD10" i="18" s="1"/>
  <c r="V12" i="18"/>
  <c r="AH12" i="18" s="1"/>
  <c r="O12" i="18"/>
  <c r="AA12" i="18" s="1"/>
  <c r="Q12" i="18"/>
  <c r="AC12" i="18" s="1"/>
  <c r="R12" i="18"/>
  <c r="AD12" i="18" s="1"/>
  <c r="N12" i="18"/>
  <c r="Z12" i="18" s="1"/>
  <c r="T12" i="18"/>
  <c r="AF12" i="18" s="1"/>
  <c r="N11" i="18"/>
  <c r="Z11" i="18" s="1"/>
  <c r="K12" i="18"/>
  <c r="W12" i="18" s="1"/>
  <c r="P11" i="18"/>
  <c r="AB11" i="18" s="1"/>
  <c r="Q10" i="18"/>
  <c r="AC10" i="18" s="1"/>
  <c r="O10" i="18"/>
  <c r="AA10" i="18" s="1"/>
  <c r="N10" i="18"/>
  <c r="Z10" i="18" s="1"/>
  <c r="L12" i="18"/>
  <c r="X12" i="18" s="1"/>
  <c r="V10" i="18"/>
  <c r="AH10" i="18" s="1"/>
  <c r="M11" i="18"/>
  <c r="Y11" i="18" s="1"/>
  <c r="AO44" i="18"/>
  <c r="P12" i="18"/>
  <c r="AB12" i="18" s="1"/>
  <c r="T10" i="18"/>
  <c r="AF10" i="18" s="1"/>
  <c r="AO11" i="18"/>
  <c r="U10" i="18"/>
  <c r="AG10" i="18" s="1"/>
  <c r="AO57" i="18"/>
  <c r="L11" i="18"/>
  <c r="X11" i="18" s="1"/>
  <c r="O11" i="18"/>
  <c r="AA11" i="18" s="1"/>
  <c r="M12" i="18"/>
  <c r="Y12" i="18" s="1"/>
  <c r="U11" i="18"/>
  <c r="AG11" i="18" s="1"/>
  <c r="AO12" i="18"/>
  <c r="K10" i="18"/>
  <c r="W10" i="18" s="1"/>
  <c r="Q11" i="18"/>
  <c r="AC11" i="18" s="1"/>
  <c r="U12" i="18"/>
  <c r="AG12" i="18" s="1"/>
  <c r="L10" i="18"/>
  <c r="X10" i="18" s="1"/>
  <c r="S10" i="18"/>
  <c r="AE10" i="18" s="1"/>
  <c r="P10" i="18"/>
  <c r="AB10" i="18" s="1"/>
  <c r="M10" i="18"/>
  <c r="Y10" i="18" s="1"/>
  <c r="AO58" i="18"/>
  <c r="AO55" i="18"/>
  <c r="AO14" i="18"/>
  <c r="AO56" i="18"/>
  <c r="AO59" i="18"/>
  <c r="AO60" i="18"/>
  <c r="AO54" i="18"/>
  <c r="AW25" i="2" l="1"/>
  <c r="AJ9" i="18" s="1"/>
  <c r="AI9" i="18"/>
  <c r="AI14" i="18"/>
  <c r="AI32" i="18"/>
  <c r="AI18" i="18"/>
  <c r="AI38" i="18"/>
  <c r="AI13" i="18"/>
  <c r="AW37" i="2"/>
  <c r="AI37" i="18"/>
  <c r="AI22" i="18"/>
  <c r="AW60" i="2"/>
  <c r="AW42" i="2"/>
  <c r="AI34" i="18"/>
  <c r="AI21" i="18"/>
  <c r="AI15" i="18"/>
  <c r="AI31" i="18"/>
  <c r="AI50" i="18"/>
  <c r="AI29" i="18"/>
  <c r="AI30" i="18"/>
  <c r="AI40" i="18"/>
  <c r="AW32" i="2"/>
  <c r="AW41" i="2"/>
  <c r="AI51" i="18"/>
  <c r="AW61" i="2"/>
  <c r="AI48" i="18"/>
  <c r="AW72" i="2"/>
  <c r="AI53" i="18"/>
  <c r="AI33" i="18"/>
  <c r="AW36" i="2"/>
  <c r="AI41" i="18"/>
  <c r="AI25" i="18"/>
  <c r="AI24" i="18"/>
  <c r="AI49" i="18"/>
  <c r="AI26" i="18"/>
  <c r="AI16" i="18"/>
  <c r="AI36" i="18"/>
  <c r="AI27" i="18"/>
  <c r="AI39" i="18"/>
  <c r="AI28" i="18"/>
  <c r="AI19" i="18"/>
  <c r="AI35" i="18"/>
  <c r="AI20" i="18"/>
  <c r="AW51" i="2"/>
  <c r="AW29" i="2"/>
  <c r="AW70" i="2"/>
  <c r="AW27" i="2"/>
  <c r="AW33" i="2"/>
  <c r="AW57" i="2"/>
  <c r="AW45" i="2"/>
  <c r="AI23" i="18"/>
  <c r="AW52" i="2"/>
  <c r="AW34" i="2"/>
  <c r="AI17" i="18"/>
  <c r="AI52" i="18"/>
  <c r="AW56" i="2"/>
  <c r="AW40" i="2"/>
  <c r="AI42" i="18"/>
  <c r="AW75" i="2"/>
  <c r="AW43" i="2"/>
  <c r="AW44" i="2"/>
  <c r="AW53" i="2"/>
  <c r="AW39" i="2"/>
  <c r="AW54" i="2"/>
  <c r="AW35" i="2"/>
  <c r="AW31" i="2"/>
  <c r="AW48" i="2"/>
  <c r="AW55" i="2"/>
  <c r="AW46" i="2"/>
  <c r="AW47" i="2"/>
  <c r="AW38" i="2"/>
  <c r="AW49" i="2"/>
  <c r="AW74" i="2"/>
  <c r="AW66" i="2"/>
  <c r="AW50" i="2"/>
  <c r="AW59" i="2"/>
  <c r="AW58" i="2"/>
  <c r="AI57" i="18"/>
  <c r="AI12" i="18"/>
  <c r="AW68" i="2"/>
  <c r="AI54" i="18"/>
  <c r="AW64" i="2"/>
  <c r="AW65" i="2"/>
  <c r="AW30" i="2"/>
  <c r="AW62" i="2"/>
  <c r="AI44" i="18"/>
  <c r="AI47" i="18"/>
  <c r="AI59" i="18"/>
  <c r="AI58" i="18"/>
  <c r="AI56" i="18"/>
  <c r="AI11" i="18"/>
  <c r="AI43" i="18"/>
  <c r="AI45" i="18"/>
  <c r="AI46" i="18"/>
  <c r="AI60" i="18"/>
  <c r="AI55" i="18"/>
  <c r="AI10" i="18"/>
  <c r="AW69" i="2"/>
  <c r="AW76" i="2"/>
  <c r="AW28" i="2"/>
  <c r="AW71" i="2"/>
  <c r="AW26" i="2"/>
  <c r="AW67" i="2"/>
  <c r="AW63" i="2"/>
  <c r="AW73" i="2"/>
  <c r="AX25" i="2" l="1"/>
  <c r="AK9" i="18"/>
  <c r="AS9" i="18" s="1"/>
  <c r="AU9" i="18" s="1"/>
  <c r="AQ9" i="18"/>
  <c r="AX75" i="2"/>
  <c r="AJ59" i="18"/>
  <c r="AK59" i="18" s="1"/>
  <c r="AX66" i="2"/>
  <c r="AJ50" i="18"/>
  <c r="AK50" i="18" s="1"/>
  <c r="AX72" i="2"/>
  <c r="AJ56" i="18"/>
  <c r="AK56" i="18" s="1"/>
  <c r="AX74" i="2"/>
  <c r="AJ58" i="18"/>
  <c r="AK58" i="18" s="1"/>
  <c r="AX35" i="2"/>
  <c r="AJ19" i="18"/>
  <c r="AK19" i="18" s="1"/>
  <c r="AX45" i="2"/>
  <c r="AJ29" i="18"/>
  <c r="AK29" i="18" s="1"/>
  <c r="AX69" i="2"/>
  <c r="AJ53" i="18"/>
  <c r="AK53" i="18" s="1"/>
  <c r="AX52" i="2"/>
  <c r="AJ36" i="18"/>
  <c r="AK36" i="18" s="1"/>
  <c r="AX60" i="2"/>
  <c r="AJ44" i="18"/>
  <c r="AK44" i="18" s="1"/>
  <c r="AX64" i="2"/>
  <c r="AJ48" i="18"/>
  <c r="AK48" i="18" s="1"/>
  <c r="AX31" i="2"/>
  <c r="AJ15" i="18"/>
  <c r="AK15" i="18" s="1"/>
  <c r="AX67" i="2"/>
  <c r="AJ51" i="18"/>
  <c r="AK51" i="18" s="1"/>
  <c r="AX26" i="2"/>
  <c r="AJ10" i="18"/>
  <c r="AK10" i="18" s="1"/>
  <c r="AV10" i="18" s="1"/>
  <c r="AX10" i="18" s="1"/>
  <c r="AX68" i="2"/>
  <c r="AJ52" i="18"/>
  <c r="AK52" i="18" s="1"/>
  <c r="AX49" i="2"/>
  <c r="AJ33" i="18"/>
  <c r="AK33" i="18" s="1"/>
  <c r="AX54" i="2"/>
  <c r="AJ38" i="18"/>
  <c r="AK38" i="18" s="1"/>
  <c r="AX40" i="2"/>
  <c r="AJ24" i="18"/>
  <c r="AK24" i="18" s="1"/>
  <c r="AX57" i="2"/>
  <c r="AJ41" i="18"/>
  <c r="AK41" i="18" s="1"/>
  <c r="AX61" i="2"/>
  <c r="AJ45" i="18"/>
  <c r="AK45" i="18" s="1"/>
  <c r="AX37" i="2"/>
  <c r="AJ21" i="18"/>
  <c r="AK21" i="18" s="1"/>
  <c r="AX65" i="2"/>
  <c r="AJ49" i="18"/>
  <c r="AK49" i="18" s="1"/>
  <c r="AX63" i="2"/>
  <c r="AJ47" i="18"/>
  <c r="AK47" i="18" s="1"/>
  <c r="AX38" i="2"/>
  <c r="AJ22" i="18"/>
  <c r="AK22" i="18" s="1"/>
  <c r="AX33" i="2"/>
  <c r="AJ17" i="18"/>
  <c r="AK17" i="18" s="1"/>
  <c r="AX28" i="2"/>
  <c r="AJ12" i="18"/>
  <c r="AK12" i="18" s="1"/>
  <c r="AX47" i="2"/>
  <c r="AJ31" i="18"/>
  <c r="AK31" i="18" s="1"/>
  <c r="AX53" i="2"/>
  <c r="AJ37" i="18"/>
  <c r="AK37" i="18" s="1"/>
  <c r="AX27" i="2"/>
  <c r="AJ11" i="18"/>
  <c r="AK11" i="18" s="1"/>
  <c r="AX41" i="2"/>
  <c r="AJ25" i="18"/>
  <c r="AK25" i="18" s="1"/>
  <c r="AX73" i="2"/>
  <c r="AJ57" i="18"/>
  <c r="AK57" i="18" s="1"/>
  <c r="AX50" i="2"/>
  <c r="AJ34" i="18"/>
  <c r="AK34" i="18" s="1"/>
  <c r="AX51" i="2"/>
  <c r="AJ35" i="18"/>
  <c r="AK35" i="18" s="1"/>
  <c r="AX39" i="2"/>
  <c r="AJ23" i="18"/>
  <c r="AK23" i="18" s="1"/>
  <c r="AX62" i="2"/>
  <c r="AJ46" i="18"/>
  <c r="AK46" i="18" s="1"/>
  <c r="AX58" i="2"/>
  <c r="AJ42" i="18"/>
  <c r="AK42" i="18" s="1"/>
  <c r="AX46" i="2"/>
  <c r="AJ30" i="18"/>
  <c r="AK30" i="18" s="1"/>
  <c r="AX44" i="2"/>
  <c r="AJ28" i="18"/>
  <c r="AK28" i="18" s="1"/>
  <c r="AX70" i="2"/>
  <c r="AJ54" i="18"/>
  <c r="AK54" i="18" s="1"/>
  <c r="AX36" i="2"/>
  <c r="AJ20" i="18"/>
  <c r="AK20" i="18" s="1"/>
  <c r="AX32" i="2"/>
  <c r="AJ16" i="18"/>
  <c r="AK16" i="18" s="1"/>
  <c r="AX48" i="2"/>
  <c r="AJ32" i="18"/>
  <c r="AK32" i="18" s="1"/>
  <c r="AX71" i="2"/>
  <c r="AJ55" i="18"/>
  <c r="AK55" i="18" s="1"/>
  <c r="AX56" i="2"/>
  <c r="AJ40" i="18"/>
  <c r="AK40" i="18" s="1"/>
  <c r="AX76" i="2"/>
  <c r="AJ60" i="18"/>
  <c r="AK60" i="18" s="1"/>
  <c r="AX30" i="2"/>
  <c r="AJ14" i="18"/>
  <c r="AK14" i="18" s="1"/>
  <c r="AX59" i="2"/>
  <c r="AJ43" i="18"/>
  <c r="AK43" i="18" s="1"/>
  <c r="AX55" i="2"/>
  <c r="AJ39" i="18"/>
  <c r="AK39" i="18" s="1"/>
  <c r="AX43" i="2"/>
  <c r="AJ27" i="18"/>
  <c r="AK27" i="18" s="1"/>
  <c r="AX34" i="2"/>
  <c r="AJ18" i="18"/>
  <c r="AK18" i="18" s="1"/>
  <c r="AX29" i="2"/>
  <c r="AJ13" i="18"/>
  <c r="AK13" i="18" s="1"/>
  <c r="AX42" i="2"/>
  <c r="AJ26" i="18"/>
  <c r="AK26" i="18" s="1"/>
  <c r="AW9" i="18"/>
  <c r="AW42" i="18" l="1"/>
  <c r="AT37" i="18"/>
  <c r="AW22" i="18"/>
  <c r="AW56" i="18"/>
  <c r="AW46" i="18"/>
  <c r="AW48" i="18"/>
  <c r="AT10" i="18"/>
  <c r="AT19" i="18"/>
  <c r="AW19" i="18"/>
  <c r="AW59" i="18"/>
  <c r="AT54" i="18"/>
  <c r="AW54" i="18"/>
  <c r="AW43" i="18"/>
  <c r="AT43" i="18"/>
  <c r="AT57" i="18"/>
  <c r="AW18" i="18"/>
  <c r="AT18" i="18"/>
  <c r="AT28" i="18"/>
  <c r="AW16" i="18"/>
  <c r="AW11" i="18"/>
  <c r="AT11" i="18"/>
  <c r="AT17" i="18"/>
  <c r="AW38" i="18"/>
  <c r="AT51" i="18"/>
  <c r="AW58" i="18"/>
  <c r="AT58" i="18"/>
  <c r="AW31" i="18"/>
  <c r="AW29" i="18"/>
  <c r="AT23" i="18"/>
  <c r="AT60" i="18"/>
  <c r="AW60" i="18"/>
  <c r="AT30" i="18"/>
  <c r="AT9" i="18"/>
  <c r="AW39" i="18"/>
  <c r="AQ56" i="18"/>
  <c r="AT46" i="18"/>
  <c r="AW57" i="18"/>
  <c r="AW47" i="18"/>
  <c r="AT50" i="18"/>
  <c r="AQ37" i="18"/>
  <c r="AT45" i="18"/>
  <c r="AQ13" i="18"/>
  <c r="AW55" i="18"/>
  <c r="AT52" i="18"/>
  <c r="AT29" i="18"/>
  <c r="AQ10" i="18"/>
  <c r="AQ44" i="18"/>
  <c r="AT59" i="18"/>
  <c r="AQ42" i="18"/>
  <c r="AW23" i="18"/>
  <c r="AW14" i="18"/>
  <c r="AQ38" i="18"/>
  <c r="AW51" i="18"/>
  <c r="AQ58" i="18"/>
  <c r="AQ54" i="18"/>
  <c r="AQ23" i="18"/>
  <c r="AT38" i="18"/>
  <c r="AT13" i="18"/>
  <c r="AW13" i="18"/>
  <c r="AT56" i="18"/>
  <c r="AQ51" i="18"/>
  <c r="AQ11" i="18"/>
  <c r="AQ29" i="18"/>
  <c r="AQ39" i="18"/>
  <c r="AT39" i="18"/>
  <c r="AW37" i="18"/>
  <c r="AW50" i="18"/>
  <c r="AQ50" i="18"/>
  <c r="AT44" i="18"/>
  <c r="AT31" i="18"/>
  <c r="AQ31" i="18"/>
  <c r="AW52" i="18"/>
  <c r="AQ52" i="18"/>
  <c r="AT25" i="18"/>
  <c r="AW25" i="18"/>
  <c r="AQ25" i="18"/>
  <c r="AT48" i="18"/>
  <c r="AQ48" i="18"/>
  <c r="AQ15" i="18"/>
  <c r="AW15" i="18"/>
  <c r="AT15" i="18"/>
  <c r="AW41" i="18"/>
  <c r="AT41" i="18"/>
  <c r="AQ41" i="18"/>
  <c r="AQ49" i="18"/>
  <c r="AW49" i="18"/>
  <c r="AT49" i="18"/>
  <c r="AW32" i="18"/>
  <c r="AT32" i="18"/>
  <c r="AQ32" i="18"/>
  <c r="AW28" i="18"/>
  <c r="AQ28" i="18"/>
  <c r="AW35" i="18"/>
  <c r="AT35" i="18"/>
  <c r="AQ35" i="18"/>
  <c r="AW36" i="18"/>
  <c r="AT36" i="18"/>
  <c r="AQ36" i="18"/>
  <c r="AW17" i="18"/>
  <c r="AQ17" i="18"/>
  <c r="AW21" i="18"/>
  <c r="AQ21" i="18"/>
  <c r="AT21" i="18"/>
  <c r="AQ30" i="18"/>
  <c r="AW30" i="18"/>
  <c r="AT16" i="18"/>
  <c r="AQ16" i="18"/>
  <c r="AT40" i="18"/>
  <c r="AW40" i="18"/>
  <c r="AQ40" i="18"/>
  <c r="AQ46" i="18"/>
  <c r="AW24" i="18"/>
  <c r="AT24" i="18"/>
  <c r="AQ24" i="18"/>
  <c r="AW26" i="18"/>
  <c r="AT26" i="18"/>
  <c r="AQ26" i="18"/>
  <c r="AQ53" i="18"/>
  <c r="AW53" i="18"/>
  <c r="AT53" i="18"/>
  <c r="AT34" i="18"/>
  <c r="AW34" i="18"/>
  <c r="AQ34" i="18"/>
  <c r="AQ18" i="18"/>
  <c r="AT22" i="18"/>
  <c r="AQ22" i="18"/>
  <c r="AT33" i="18"/>
  <c r="AW33" i="18"/>
  <c r="AQ33" i="18"/>
  <c r="AQ19" i="18"/>
  <c r="AW20" i="18"/>
  <c r="AT20" i="18"/>
  <c r="AQ20" i="18"/>
  <c r="AQ27" i="18"/>
  <c r="AW27" i="18"/>
  <c r="AT27" i="18"/>
  <c r="AT42" i="18"/>
  <c r="AQ45" i="18"/>
  <c r="AQ55" i="18"/>
  <c r="AW44" i="18"/>
  <c r="AQ59" i="18"/>
  <c r="AQ43" i="18"/>
  <c r="AQ60" i="18"/>
  <c r="AQ57" i="18"/>
  <c r="AQ14" i="18"/>
  <c r="AT14" i="18"/>
  <c r="AQ47" i="18"/>
  <c r="AT47" i="18"/>
  <c r="AT55" i="18"/>
  <c r="AW45" i="18"/>
  <c r="AQ12" i="18"/>
  <c r="AW12" i="18"/>
  <c r="AT12" i="18"/>
  <c r="AW10" i="18"/>
  <c r="C45" i="5" l="1"/>
  <c r="W24" i="2" l="1"/>
  <c r="I8" i="18" s="1"/>
  <c r="BB24" i="2" l="1"/>
  <c r="BB20" i="2" s="1"/>
  <c r="X24" i="2" l="1"/>
  <c r="J8" i="18" s="1"/>
  <c r="V24" i="2" l="1"/>
  <c r="H8" i="18" s="1"/>
  <c r="S24" i="2" l="1"/>
  <c r="AL8" i="18" s="1"/>
  <c r="O51" i="5"/>
  <c r="O52" i="5"/>
  <c r="O53" i="5"/>
  <c r="O54" i="5"/>
  <c r="O55" i="5"/>
  <c r="O56" i="5"/>
  <c r="O57" i="5"/>
  <c r="O58" i="5"/>
  <c r="O59" i="5"/>
  <c r="O60" i="5"/>
  <c r="O61" i="5"/>
  <c r="O62" i="5"/>
  <c r="O63" i="5"/>
  <c r="O64" i="5"/>
  <c r="O65" i="5"/>
  <c r="O66" i="5"/>
  <c r="O67" i="5"/>
  <c r="O68" i="5"/>
  <c r="O69" i="5"/>
  <c r="O70" i="5"/>
  <c r="O71" i="5"/>
  <c r="R24" i="2"/>
  <c r="U24" i="2" l="1"/>
  <c r="AN8" i="18" s="1"/>
  <c r="K8" i="18" l="1"/>
  <c r="W8" i="18" s="1"/>
  <c r="AO8" i="18"/>
  <c r="P8" i="18"/>
  <c r="AB8" i="18" s="1"/>
  <c r="S8" i="18"/>
  <c r="AE8" i="18" s="1"/>
  <c r="V8" i="18"/>
  <c r="AH8" i="18" s="1"/>
  <c r="T8" i="18"/>
  <c r="AF8" i="18" s="1"/>
  <c r="M8" i="18"/>
  <c r="Y8" i="18" s="1"/>
  <c r="O8" i="18"/>
  <c r="AA8" i="18" s="1"/>
  <c r="N8" i="18"/>
  <c r="Z8" i="18" s="1"/>
  <c r="Q8" i="18"/>
  <c r="AC8" i="18" s="1"/>
  <c r="L8" i="18"/>
  <c r="X8" i="18" s="1"/>
  <c r="R8" i="18"/>
  <c r="AD8" i="18" s="1"/>
  <c r="U8" i="18"/>
  <c r="AG8" i="18" s="1"/>
  <c r="AF24" i="2"/>
  <c r="AR24" i="2" s="1"/>
  <c r="AG24" i="2"/>
  <c r="AS24" i="2" s="1"/>
  <c r="AA24" i="2"/>
  <c r="AM24" i="2" s="1"/>
  <c r="AJ24" i="2"/>
  <c r="AV24" i="2" s="1"/>
  <c r="Z24" i="2"/>
  <c r="AL24" i="2" s="1"/>
  <c r="AE24" i="2"/>
  <c r="AQ24" i="2" s="1"/>
  <c r="AI24" i="2"/>
  <c r="AU24" i="2" s="1"/>
  <c r="AD24" i="2"/>
  <c r="AP24" i="2" s="1"/>
  <c r="AB24" i="2"/>
  <c r="AN24" i="2" s="1"/>
  <c r="AC24" i="2"/>
  <c r="AO24" i="2" s="1"/>
  <c r="AH24" i="2"/>
  <c r="AT24" i="2" s="1"/>
  <c r="Y24" i="2"/>
  <c r="AK24" i="2" s="1"/>
  <c r="AO5" i="18" l="1"/>
  <c r="AI8" i="18"/>
  <c r="AI5" i="18" s="1"/>
  <c r="AW24" i="2"/>
  <c r="AX24" i="2" s="1"/>
  <c r="AW20" i="2" l="1"/>
  <c r="BB15" i="2" s="1"/>
  <c r="AJ8" i="18"/>
  <c r="AJ5" i="18" s="1"/>
  <c r="AX20" i="2"/>
  <c r="AK8" i="18" l="1"/>
  <c r="AP8" i="18" s="1"/>
  <c r="AR8" i="18" s="1"/>
  <c r="AQ8" i="18" l="1"/>
  <c r="AT8" i="18"/>
  <c r="AW8" i="18"/>
  <c r="AK5" i="18"/>
  <c r="AJ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 Alexander</author>
  </authors>
  <commentList>
    <comment ref="D5" authorId="0" shapeId="0" xr:uid="{A22E128E-16CD-4964-A7CF-82B08539262D}">
      <text>
        <r>
          <rPr>
            <b/>
            <sz val="9"/>
            <color indexed="81"/>
            <rFont val="Tahoma"/>
            <family val="2"/>
          </rPr>
          <t>Select from drop-down menu</t>
        </r>
      </text>
    </comment>
    <comment ref="D7" authorId="0" shapeId="0" xr:uid="{B0BBBDA1-103C-4C23-A928-3E42841A9317}">
      <text>
        <r>
          <rPr>
            <b/>
            <sz val="9"/>
            <color indexed="81"/>
            <rFont val="Tahoma"/>
            <family val="2"/>
          </rPr>
          <t>Select from drop-down menu</t>
        </r>
      </text>
    </comment>
    <comment ref="E8" authorId="0" shapeId="0" xr:uid="{53F62FF8-B946-42A0-9EBE-ECF9D82DFD5C}">
      <text>
        <r>
          <rPr>
            <b/>
            <sz val="9"/>
            <color indexed="81"/>
            <rFont val="Tahoma"/>
            <family val="2"/>
          </rPr>
          <t>Select from drop-down menu</t>
        </r>
        <r>
          <rPr>
            <sz val="9"/>
            <color indexed="81"/>
            <rFont val="Tahoma"/>
            <family val="2"/>
          </rPr>
          <t xml:space="preserve">
</t>
        </r>
      </text>
    </comment>
    <comment ref="E9" authorId="0" shapeId="0" xr:uid="{0013B7D6-82FC-4A2E-9FC3-17B1B0281012}">
      <text>
        <r>
          <rPr>
            <b/>
            <sz val="9"/>
            <color indexed="81"/>
            <rFont val="Tahoma"/>
            <family val="2"/>
          </rPr>
          <t>Select from drop-down menu</t>
        </r>
      </text>
    </comment>
    <comment ref="E10" authorId="0" shapeId="0" xr:uid="{A328B049-8829-4B24-8F5D-A3EEA986914C}">
      <text>
        <r>
          <rPr>
            <b/>
            <sz val="9"/>
            <color indexed="81"/>
            <rFont val="Tahoma"/>
            <family val="2"/>
          </rPr>
          <t>Select from drop-down menu</t>
        </r>
        <r>
          <rPr>
            <sz val="9"/>
            <color indexed="81"/>
            <rFont val="Tahoma"/>
            <family val="2"/>
          </rPr>
          <t xml:space="preserve">
</t>
        </r>
      </text>
    </comment>
    <comment ref="K21" authorId="0" shapeId="0" xr:uid="{9D9A66B1-CAB2-4A7A-8585-958E17A04E29}">
      <text>
        <r>
          <rPr>
            <b/>
            <sz val="9"/>
            <color indexed="81"/>
            <rFont val="Tahoma"/>
            <family val="2"/>
          </rPr>
          <t>Input from site data, if known. If unknown, estimate from Google Maps or alternative mapping</t>
        </r>
      </text>
    </comment>
    <comment ref="M21" authorId="0" shapeId="0" xr:uid="{FF3BC792-2183-4A5D-8D17-3385F7BD03F8}">
      <text>
        <r>
          <rPr>
            <b/>
            <sz val="9"/>
            <color indexed="81"/>
            <rFont val="Tahoma"/>
            <family val="2"/>
          </rPr>
          <t>Assume 2.4m as standard if unknown</t>
        </r>
      </text>
    </comment>
    <comment ref="AZ21" authorId="0" shapeId="0" xr:uid="{339F93E9-291D-4A2F-8EA8-84190CBADD32}">
      <text>
        <r>
          <rPr>
            <b/>
            <sz val="9"/>
            <color indexed="81"/>
            <rFont val="Tahoma"/>
            <family val="2"/>
          </rPr>
          <t>Select from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Marcus Alexander</author>
  </authors>
  <commentList>
    <comment ref="C6" authorId="0" shapeId="0" xr:uid="{20F8C35D-5B57-417A-8D37-1C0E717121BE}">
      <text>
        <r>
          <rPr>
            <b/>
            <sz val="9"/>
            <color indexed="81"/>
            <rFont val="Tahoma"/>
            <family val="2"/>
          </rPr>
          <t>Select from drop-down menu</t>
        </r>
      </text>
    </comment>
    <comment ref="F6" authorId="0" shapeId="0" xr:uid="{4B5D73F0-E86C-4704-95C9-7043440B0944}">
      <text>
        <r>
          <rPr>
            <b/>
            <sz val="9"/>
            <color indexed="81"/>
            <rFont val="Tahoma"/>
            <family val="2"/>
          </rPr>
          <t>Select from drop-down menu</t>
        </r>
      </text>
    </comment>
    <comment ref="G6" authorId="0" shapeId="0" xr:uid="{8032DD5D-F3ED-4D94-8A2A-76D84574D2F0}">
      <text>
        <r>
          <rPr>
            <b/>
            <sz val="9"/>
            <color indexed="81"/>
            <rFont val="Tahoma"/>
            <family val="2"/>
          </rPr>
          <t>Select from drop-down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tc={9E9921A7-23CC-4565-9415-C63DA3F0323A}</author>
    <author>tc={60BA9268-6619-4FF7-8041-74F6DE8F366E}</author>
    <author>tc={F73B1E8E-21EB-46A9-A507-8E55C314711B}</author>
    <author>Lewis Bowick</author>
    <author>tc={F4F6D3B6-5C8C-496C-AA51-2EAA52C9390E}</author>
    <author>tc={16E89503-54BC-4AB6-8B26-E67EB3F82070}</author>
    <author>tc={CA869327-7B5D-45CC-AD8A-73479DD5E70B}</author>
    <author>tc={B76B25FC-C0A5-4BBD-8A4C-FEF790F73C6C}</author>
    <author>tc={726CFDE2-9F23-4B81-9681-A341372DAFFE}</author>
    <author>tc={9BB8E9F0-99F5-4526-B74C-20F4574404A0}</author>
  </authors>
  <commentList>
    <comment ref="B19" authorId="0" shapeId="0" xr:uid="{9E9921A7-23CC-4565-9415-C63DA3F0323A}">
      <text>
        <t>[Threaded comment]
Your version of Excel allows you to read this threaded comment; however, any edits to it will get removed if the file is opened in a newer version of Excel. Learn more: https://go.microsoft.com/fwlink/?linkid=870924
Comment:
    Assumed that target for retrofit is shy of 2016 building regulations</t>
      </text>
    </comment>
    <comment ref="E20" authorId="1" shapeId="0" xr:uid="{60BA9268-6619-4FF7-8041-74F6DE8F366E}">
      <text>
        <t>[Threaded comment]
Your version of Excel allows you to read this threaded comment; however, any edits to it will get removed if the file is opened in a newer version of Excel. Learn more: https://go.microsoft.com/fwlink/?linkid=870924
Comment:
    Argon gass double glazed units</t>
      </text>
    </comment>
    <comment ref="C29" authorId="2" shapeId="0" xr:uid="{F73B1E8E-21EB-46A9-A507-8E55C314711B}">
      <text>
        <t>[Threaded comment]
Your version of Excel allows you to read this threaded comment; however, any edits to it will get removed if the file is opened in a newer version of Excel. Learn more: https://go.microsoft.com/fwlink/?linkid=870924
Comment:
    Solid walls assumed till 1940, cavity thereafter</t>
      </text>
    </comment>
    <comment ref="G29" authorId="3" shapeId="0" xr:uid="{A7410380-DDDE-4DB3-BA42-578B92EA98B5}">
      <text>
        <r>
          <rPr>
            <b/>
            <sz val="9"/>
            <color indexed="81"/>
            <rFont val="Tahoma"/>
            <family val="2"/>
          </rPr>
          <t>Lewis Bowick:</t>
        </r>
        <r>
          <rPr>
            <sz val="9"/>
            <color indexed="81"/>
            <rFont val="Tahoma"/>
            <family val="2"/>
          </rPr>
          <t xml:space="preserve">
Suspended timber floor assumed until 1940, solid thereafter, based on reference 1. Pre regs U values based on reference 5.</t>
        </r>
      </text>
    </comment>
    <comment ref="C42" authorId="4" shapeId="0" xr:uid="{F4F6D3B6-5C8C-496C-AA51-2EAA52C9390E}">
      <text>
        <t>[Threaded comment]
Your version of Excel allows you to read this threaded comment; however, any edits to it will get removed if the file is opened in a newer version of Excel. Learn more: https://go.microsoft.com/fwlink/?linkid=870924
Comment:
    Retrofit cost data source: Minitry of Housing, Communities and Local Goverment Energy Performance of Buildings Directive
Second Cost Optimal Assessment for the United Kingdom (excluding Gibraltar)
Table 11.11</t>
      </text>
    </comment>
    <comment ref="H43" authorId="5" shapeId="0" xr:uid="{16E89503-54BC-4AB6-8B26-E67EB3F82070}">
      <text>
        <t>[Threaded comment]
Your version of Excel allows you to read this threaded comment; however, any edits to it will get removed if the file is opened in a newer version of Excel. Learn more: https://go.microsoft.com/fwlink/?linkid=870924
Comment:
    This figure is the average cost to retrofit timber (£626) and UPVC (£354) windows</t>
      </text>
    </comment>
    <comment ref="C44" authorId="6" shapeId="0" xr:uid="{CA869327-7B5D-45CC-AD8A-73479DD5E70B}">
      <text>
        <t>[Threaded comment]
Your version of Excel allows you to read this threaded comment; however, any edits to it will get removed if the file is opened in a newer version of Excel. Learn more: https://go.microsoft.com/fwlink/?linkid=870924
Comment:
    Asssume 50mm solid wall insulation, based on cavity wall costs for cavity fill + solid wall.</t>
      </text>
    </comment>
    <comment ref="E44" authorId="7" shapeId="0" xr:uid="{B76B25FC-C0A5-4BBD-8A4C-FEF790F73C6C}">
      <text>
        <t>[Threaded comment]
Your version of Excel allows you to read this threaded comment; however, any edits to it will get removed if the file is opened in a newer version of Excel. Learn more: https://go.microsoft.com/fwlink/?linkid=870924
Comment:
    Interpolate costs at 0.36 and 0.27 W/m2 to get 0.3 (post retrofit value assumed by model)</t>
      </text>
    </comment>
    <comment ref="B45" authorId="8" shapeId="0" xr:uid="{726CFDE2-9F23-4B81-9681-A341372DAFFE}">
      <text>
        <t>[Threaded comment]
Your version of Excel allows you to read this threaded comment; however, any edits to it will get removed if the file is opened in a newer version of Excel. Learn more: https://go.microsoft.com/fwlink/?linkid=870924
Comment:
    Assume that:
1) All work is inside the secure area and has a factor of 1.2 applied to account for additional costs.
2) Insulation materials are standard cost.
3) Windows to MOJ spec are 3 times standard cost, components are 60% of total cost and MOJ uplift of 1.2 should be applied.</t>
      </text>
    </comment>
    <comment ref="B49" authorId="9" shapeId="0" xr:uid="{9BB8E9F0-99F5-4526-B74C-20F4574404A0}">
      <text>
        <t>[Threaded comment]
Your version of Excel allows you to read this threaded comment; however, any edits to it will get removed if the file is opened in a newer version of Excel. Learn more: https://go.microsoft.com/fwlink/?linkid=870924
Comment:
    Data Source reference (6)</t>
      </text>
    </comment>
  </commentList>
</comments>
</file>

<file path=xl/sharedStrings.xml><?xml version="1.0" encoding="utf-8"?>
<sst xmlns="http://schemas.openxmlformats.org/spreadsheetml/2006/main" count="581" uniqueCount="358">
  <si>
    <t>Should further information be required, please contact us at:</t>
  </si>
  <si>
    <t>psdecarbguidance@es.catapult.org.uk</t>
  </si>
  <si>
    <t>Guidance</t>
  </si>
  <si>
    <t>This estimator is designed to support the assessment of site building fabric and give an understanding of relevant energy consumption building by building on either a campus style site or at an organisational portfolio level. Using this estimator also provides a repository of site information to be assembled in a consistent format.
This guidance is produced  as part of the development of a consistent approach to assessing decarbonisation for scaled delivery. It provides an assessment of the impact of building fabric on a given site's energy usage, by focusing on understanding the current building construction and condition, and estimating expected financial and energy savings potential from upgrades.
This tool can be used standalone or as part of the Public Sector Decarbonisation Guidance feasibility and design process (see link below)  to assess the impact of building fabric within a decarbonisation plan.</t>
  </si>
  <si>
    <t xml:space="preserve">https://es.catapult.org.uk/tools-and-labs/public-sector-decarbonisation-guidance-design-and-feasibility </t>
  </si>
  <si>
    <r>
      <t>Building fabric costs and benefits are particularly hard to estimate without detailed building surveys. They are often also the most challenging efficiency measure to justify due to long pay back periods. Where a site heat solution needs some fabric measures implemented in order to be successful, consider adopting the following approach:
1)  Estimate the energy savings from an appropriate package of measures based on what the known current state of the buildings is (</t>
    </r>
    <r>
      <rPr>
        <i/>
        <sz val="11"/>
        <rFont val="Segoe UI"/>
        <family val="2"/>
      </rPr>
      <t>Building Breakdown</t>
    </r>
    <r>
      <rPr>
        <sz val="11"/>
        <rFont val="Segoe UI"/>
        <family val="2"/>
      </rPr>
      <t xml:space="preserve"> tab). This should be defined building by building based on building age and use alongside any knowledge of post-build interventions (such as double glazing)
2)  Compare the estimated total cost of interventions (given on the </t>
    </r>
    <r>
      <rPr>
        <i/>
        <sz val="11"/>
        <rFont val="Segoe UI"/>
        <family val="2"/>
      </rPr>
      <t>Fabric Changes</t>
    </r>
    <r>
      <rPr>
        <sz val="11"/>
        <rFont val="Segoe UI"/>
        <family val="2"/>
      </rPr>
      <t xml:space="preserve"> tab) with an estimated cost at which the Internal Rate of Return (IRR) = 0%
3)  The 0% IRR cost can be taken as the amount that the site would need to find from its own budget. The difference between this and the total cost would then require some form of grant/gap funding to bridge the gap between the two figures and ensure the interventions are taken forward</t>
    </r>
  </si>
  <si>
    <t>(Internal rate of return (IRR) is a financial metric used to assess the attractiveness of a particular investment opportunity)</t>
  </si>
  <si>
    <t>Warnings</t>
  </si>
  <si>
    <t>If multiple heat sources are used on a site, multiple versions of this model might be required to model buildings connected to each heat source type separately. However, it is possible to do with using the three heat fuel options and, if multiple sources occur in a building, can divide the building by heat source and adjust the building area accordingly.</t>
  </si>
  <si>
    <t xml:space="preserve">Note that heating hours are set to zero for May to September. For some building locations, types and uses this may need to be adjusted. Contact us for guidance if required: </t>
  </si>
  <si>
    <t>General Notes</t>
  </si>
  <si>
    <t>1) All salmon pink cells are for user input - these are on the "Building Breakdown" and "Fabric Changes" sheets</t>
  </si>
  <si>
    <t>2) All blue cells are automatically calculated</t>
  </si>
  <si>
    <t>3) All grey cells are reference information / data</t>
  </si>
  <si>
    <t>Tabs</t>
  </si>
  <si>
    <r>
      <rPr>
        <i/>
        <sz val="11"/>
        <color theme="1"/>
        <rFont val="Segoe UI"/>
        <family val="2"/>
      </rPr>
      <t>Building Breakdown</t>
    </r>
    <r>
      <rPr>
        <sz val="11"/>
        <color theme="1"/>
        <rFont val="Segoe UI"/>
        <family val="2"/>
      </rPr>
      <t xml:space="preserve"> is the main user input and calculator for this model.</t>
    </r>
  </si>
  <si>
    <r>
      <rPr>
        <i/>
        <sz val="11"/>
        <color theme="1"/>
        <rFont val="Segoe UI"/>
        <family val="2"/>
      </rPr>
      <t>Fabric Changes</t>
    </r>
    <r>
      <rPr>
        <sz val="11"/>
        <color theme="1"/>
        <rFont val="Segoe UI"/>
        <family val="2"/>
      </rPr>
      <t xml:space="preserve"> provides the main outputs of the model and enables users to select different building fabric upgrade options and estimate potential costs and savings for buildings on site.</t>
    </r>
  </si>
  <si>
    <r>
      <rPr>
        <i/>
        <sz val="11"/>
        <color theme="1"/>
        <rFont val="Segoe UI"/>
        <family val="2"/>
      </rPr>
      <t>User Data and Assumptions</t>
    </r>
    <r>
      <rPr>
        <sz val="11"/>
        <color theme="1"/>
        <rFont val="Segoe UI"/>
        <family val="2"/>
      </rPr>
      <t xml:space="preserve"> can be used by the tool user to record the sources and file locations of data used to populate this model for future reference.</t>
    </r>
  </si>
  <si>
    <t>HOW TO USE THIS TOOL</t>
  </si>
  <si>
    <t>Step 1:</t>
  </si>
  <si>
    <r>
      <t xml:space="preserve">Site specific entries </t>
    </r>
    <r>
      <rPr>
        <sz val="11"/>
        <color theme="1"/>
        <rFont val="Segoe UI"/>
        <family val="2"/>
      </rPr>
      <t>(</t>
    </r>
    <r>
      <rPr>
        <i/>
        <sz val="11"/>
        <color theme="1"/>
        <rFont val="Segoe UI"/>
        <family val="2"/>
      </rPr>
      <t xml:space="preserve">"Building Breakdown" </t>
    </r>
    <r>
      <rPr>
        <sz val="11"/>
        <color theme="1"/>
        <rFont val="Segoe UI"/>
        <family val="2"/>
      </rPr>
      <t>sheet</t>
    </r>
    <r>
      <rPr>
        <i/>
        <sz val="11"/>
        <color theme="1"/>
        <rFont val="Segoe UI"/>
        <family val="2"/>
      </rPr>
      <t>)</t>
    </r>
  </si>
  <si>
    <t>a</t>
  </si>
  <si>
    <t>b</t>
  </si>
  <si>
    <t>Site Name</t>
  </si>
  <si>
    <t>c</t>
  </si>
  <si>
    <t>Site Location: select region in the UK which matches the geographical location in which the site is found from drop-down menu</t>
  </si>
  <si>
    <t>d</t>
  </si>
  <si>
    <r>
      <t xml:space="preserve">Heat cost in £/kWh: Cost of heat in GBP per kWh. Note this is </t>
    </r>
    <r>
      <rPr>
        <b/>
        <sz val="11"/>
        <color theme="1"/>
        <rFont val="Segoe UI"/>
        <family val="2"/>
      </rPr>
      <t>cost of heat</t>
    </r>
    <r>
      <rPr>
        <sz val="11"/>
        <color theme="1"/>
        <rFont val="Segoe UI"/>
        <family val="2"/>
      </rPr>
      <t>, not cost of fuel - plant efficiency should be accounted for. You can select up to three different heat fuel sources</t>
    </r>
  </si>
  <si>
    <t>e</t>
  </si>
  <si>
    <t>Select the fuel source for the heat on your site, using drop-down menu</t>
  </si>
  <si>
    <t>f</t>
  </si>
  <si>
    <t>Set estimated fabric losses for the site based on a simple set of assumptions. It is useful to compare this value against that calculated using U-values and surface areas with an assumption on losses due to air change to outside</t>
  </si>
  <si>
    <t>Step 2:</t>
  </si>
  <si>
    <r>
      <rPr>
        <b/>
        <sz val="11"/>
        <color theme="1"/>
        <rFont val="Segoe UI"/>
        <family val="2"/>
      </rPr>
      <t xml:space="preserve">Building specific entries </t>
    </r>
    <r>
      <rPr>
        <i/>
        <sz val="11"/>
        <color theme="1"/>
        <rFont val="Segoe UI"/>
        <family val="2"/>
      </rPr>
      <t>("Building Breakdown" sheet</t>
    </r>
    <r>
      <rPr>
        <u/>
        <sz val="11"/>
        <color theme="1"/>
        <rFont val="Segoe UI"/>
        <family val="2"/>
      </rPr>
      <t>)</t>
    </r>
  </si>
  <si>
    <t>Building ID - reference number from site asset register or similar</t>
  </si>
  <si>
    <t xml:space="preserve">Building - building name </t>
  </si>
  <si>
    <t>Building Type - for simplicity, this is a three option drop-down list for Residential, Places of Assembly and Industrial / Storage buildings. This is used to estimate the window / door area as a percentage of wall area</t>
  </si>
  <si>
    <t>Heated Building - binary value (1 or 0) to indicate whether or not the building is heated</t>
  </si>
  <si>
    <t>Heat Fuel Type - select the heat fuel type that applies to the building (note point above regarding multiple fuels in a single building)</t>
  </si>
  <si>
    <t>Temp Set Point - temperature to which the building will be heated to - generally assumed 21°C</t>
  </si>
  <si>
    <t>g</t>
  </si>
  <si>
    <t>Heating Hours per day - number of hours per day the space is heated</t>
  </si>
  <si>
    <t>h</t>
  </si>
  <si>
    <t>Heating Days per week - number of days per week the space is heated</t>
  </si>
  <si>
    <t>i</t>
  </si>
  <si>
    <t>Construction Year - year the building was built</t>
  </si>
  <si>
    <t>j</t>
  </si>
  <si>
    <t>Footprint - building footprint area in m²</t>
  </si>
  <si>
    <t>k</t>
  </si>
  <si>
    <t>Number of floors - enter number of storeys</t>
  </si>
  <si>
    <t>l</t>
  </si>
  <si>
    <t>Floor height - average for each floor</t>
  </si>
  <si>
    <t>m</t>
  </si>
  <si>
    <t>Roof type - select from drop down options</t>
  </si>
  <si>
    <t>n</t>
  </si>
  <si>
    <t>Glazing type - select from drop down options</t>
  </si>
  <si>
    <t>o</t>
  </si>
  <si>
    <t>Building perimeter - in metres</t>
  </si>
  <si>
    <t>p</t>
  </si>
  <si>
    <t>Select the best fit Building Energy Efficiency Survey (BEES) building use category to get an estimate of the building heat demand based on floor area based on BEES data. BEES was set up to gather evidence of energy usage in non-domestic premises in England and Wales during 2014-15. This can be compared to the calculated values as a sense check that assumptions made are of the right order of magnitude</t>
  </si>
  <si>
    <t>Step 3:</t>
  </si>
  <si>
    <r>
      <t xml:space="preserve">Outputs </t>
    </r>
    <r>
      <rPr>
        <i/>
        <sz val="11"/>
        <color theme="1"/>
        <rFont val="Segoe UI"/>
        <family val="2"/>
      </rPr>
      <t>("Fabric Changes"</t>
    </r>
    <r>
      <rPr>
        <sz val="11"/>
        <color theme="1"/>
        <rFont val="Segoe UI"/>
        <family val="2"/>
      </rPr>
      <t xml:space="preserve"> sheet)</t>
    </r>
  </si>
  <si>
    <t>Select Yes / No to enable or disable calculations for Wall, Roof, Floor and Windows for each line item</t>
  </si>
  <si>
    <t>Select current window type from drop down options. Note that "Secure" should only be selected for areas where windows to MOJ standards are required (e.g., accommodation blocks within prisons)</t>
  </si>
  <si>
    <t>Select wall construction type from drop down options</t>
  </si>
  <si>
    <t>Cost and energy implications of interventions are then calculated</t>
  </si>
  <si>
    <t>Total site values for energy loss and change to energy loss due to fabric changes selected are given, together with the total capital cost for the site</t>
  </si>
  <si>
    <t>Calculated percentage reduction in fabric losses</t>
  </si>
  <si>
    <t xml:space="preserve">Payback periods expected based on the calculated energy savings and the heat costs selected </t>
  </si>
  <si>
    <t>Carbon emissions reductions calculated based on the expected savings and the selected fuel type</t>
  </si>
  <si>
    <t>Note the rationale behind the decisions made to take forward or exclude as these can be highly specific to individual buildings and should be recorded for future reference</t>
  </si>
  <si>
    <t>Building Breakdown</t>
  </si>
  <si>
    <t>Inputs</t>
  </si>
  <si>
    <t>Site data</t>
  </si>
  <si>
    <t>Site Type</t>
  </si>
  <si>
    <t>Standard</t>
  </si>
  <si>
    <t>Determines calibration data to use in estimates</t>
  </si>
  <si>
    <t>Example 1</t>
  </si>
  <si>
    <t>Site Location</t>
  </si>
  <si>
    <t>Midlands</t>
  </si>
  <si>
    <t>Heat fuel 1 £/kWh</t>
  </si>
  <si>
    <t>Natural Gas</t>
  </si>
  <si>
    <t>Specify heat fuel source</t>
  </si>
  <si>
    <t>Heat fuel 2 £/kWh (if applicable)</t>
  </si>
  <si>
    <t>Specify heat fuel source (if applicable)</t>
  </si>
  <si>
    <t>Heat fuel 3 £/kWh (if applicable)</t>
  </si>
  <si>
    <t>Gas Demand to Heat Demand Calculator (if required)</t>
  </si>
  <si>
    <t>Site Annual Building Fabric Heat Losses (kWh)</t>
  </si>
  <si>
    <t>Annual Gas Consumption (kWh)</t>
  </si>
  <si>
    <t>Catering (of total gas demand)</t>
  </si>
  <si>
    <t>Removes proportion from calculations as building fabric will not impact this gas demand</t>
  </si>
  <si>
    <t>Boiler efficiency</t>
  </si>
  <si>
    <t>Heat Distribution Losses</t>
  </si>
  <si>
    <t>Hot Water (of total heat demand)</t>
  </si>
  <si>
    <t>Total site annual energy lost to fabric (kWh)</t>
  </si>
  <si>
    <t>Total site annual energy expense lost to fabric (£)</t>
  </si>
  <si>
    <t>Total losses based on BEES data (kWh)</t>
  </si>
  <si>
    <t>Used to sense check calculated values</t>
  </si>
  <si>
    <t>Annual Heat Consumption (kWh)</t>
  </si>
  <si>
    <t>Used to compare with Site Annual Building Fabric Heat Losses (cell BA15) to ensure comparable</t>
  </si>
  <si>
    <t>Model</t>
  </si>
  <si>
    <t>Building ID</t>
  </si>
  <si>
    <t>Building Name</t>
  </si>
  <si>
    <t>Building Type</t>
  </si>
  <si>
    <t>Heated 
Building</t>
  </si>
  <si>
    <t>Heat Fuel Type</t>
  </si>
  <si>
    <t>Temp
Set Point</t>
  </si>
  <si>
    <t>Heating Hours per day</t>
  </si>
  <si>
    <t>Heating Days per week</t>
  </si>
  <si>
    <t>Construction 
Year</t>
  </si>
  <si>
    <t>Footprint</t>
  </si>
  <si>
    <t>Number of Floors</t>
  </si>
  <si>
    <t>Floor Height</t>
  </si>
  <si>
    <t>Roof 
Type</t>
  </si>
  <si>
    <t>Glazing Type</t>
  </si>
  <si>
    <t>Building 
Perimeter</t>
  </si>
  <si>
    <t>Regulation Proportion of exposed wall area for windows &amp; doors</t>
  </si>
  <si>
    <t>Area</t>
  </si>
  <si>
    <t>U-Values</t>
  </si>
  <si>
    <t>Hourly Energy Loss</t>
  </si>
  <si>
    <t>Monthly Energy Loss</t>
  </si>
  <si>
    <t>Fabric 
Losses (Annual)</t>
  </si>
  <si>
    <t>Losses Cost (Annual)</t>
  </si>
  <si>
    <t>BEES Category</t>
  </si>
  <si>
    <t xml:space="preserve">Total 
Floor Area </t>
  </si>
  <si>
    <t>Space Heat Annual Energy Consumption based on BEES data</t>
  </si>
  <si>
    <t>Ground Floor</t>
  </si>
  <si>
    <t>External Wall</t>
  </si>
  <si>
    <t>Roof</t>
  </si>
  <si>
    <t>Windows/Doors</t>
  </si>
  <si>
    <t>Exposed Walls</t>
  </si>
  <si>
    <t>Jan</t>
  </si>
  <si>
    <t>Feb</t>
  </si>
  <si>
    <t>Mar</t>
  </si>
  <si>
    <t>Apr</t>
  </si>
  <si>
    <t>May</t>
  </si>
  <si>
    <t>Jun</t>
  </si>
  <si>
    <t>Jul</t>
  </si>
  <si>
    <t>Aug</t>
  </si>
  <si>
    <t>Sep</t>
  </si>
  <si>
    <t>Oct</t>
  </si>
  <si>
    <t>Nov</t>
  </si>
  <si>
    <t>Dec</t>
  </si>
  <si>
    <t>Yes=1
No=0</t>
  </si>
  <si>
    <t>Select</t>
  </si>
  <si>
    <t>°C</t>
  </si>
  <si>
    <t>hour</t>
  </si>
  <si>
    <t>day</t>
  </si>
  <si>
    <r>
      <t>m</t>
    </r>
    <r>
      <rPr>
        <i/>
        <vertAlign val="superscript"/>
        <sz val="11"/>
        <color theme="0"/>
        <rFont val="Calibri"/>
        <family val="2"/>
        <scheme val="minor"/>
      </rPr>
      <t>2</t>
    </r>
  </si>
  <si>
    <t>%</t>
  </si>
  <si>
    <r>
      <t>m</t>
    </r>
    <r>
      <rPr>
        <b/>
        <i/>
        <vertAlign val="superscript"/>
        <sz val="11"/>
        <color theme="0"/>
        <rFont val="Calibri"/>
        <family val="2"/>
        <scheme val="minor"/>
      </rPr>
      <t>2</t>
    </r>
  </si>
  <si>
    <r>
      <t>W/m</t>
    </r>
    <r>
      <rPr>
        <b/>
        <i/>
        <vertAlign val="superscript"/>
        <sz val="11"/>
        <color theme="0"/>
        <rFont val="Calibri"/>
        <family val="2"/>
        <scheme val="minor"/>
      </rPr>
      <t>2</t>
    </r>
    <r>
      <rPr>
        <b/>
        <i/>
        <sz val="11"/>
        <color theme="0"/>
        <rFont val="Calibri"/>
        <family val="2"/>
        <scheme val="minor"/>
      </rPr>
      <t>.K</t>
    </r>
  </si>
  <si>
    <t>kWh</t>
  </si>
  <si>
    <t>£</t>
  </si>
  <si>
    <t>Building 1</t>
  </si>
  <si>
    <t>Residential buildings</t>
  </si>
  <si>
    <t>Heat fuel 1</t>
  </si>
  <si>
    <t>pre 1940</t>
  </si>
  <si>
    <t>Pitched Roof 
(Joist Insulation)</t>
  </si>
  <si>
    <t>Single Glazed</t>
  </si>
  <si>
    <t>Offices (public)</t>
  </si>
  <si>
    <t>Fabric Changes</t>
  </si>
  <si>
    <t>% saved related to building fabric</t>
  </si>
  <si>
    <t>Install Insulation</t>
  </si>
  <si>
    <t>Replacement Glazing Type</t>
  </si>
  <si>
    <t>Current Wall Type</t>
  </si>
  <si>
    <t>New U Values</t>
  </si>
  <si>
    <t>Hourly Energy Loss (kWh)</t>
  </si>
  <si>
    <t>New Annual 
Losses Total</t>
  </si>
  <si>
    <t>Existing Annual Losses Total</t>
  </si>
  <si>
    <t>Delta Losses</t>
  </si>
  <si>
    <t>CAPEX</t>
  </si>
  <si>
    <t>CAPEX Total</t>
  </si>
  <si>
    <t>Heat fuel 2</t>
  </si>
  <si>
    <t>Heat fuel 3</t>
  </si>
  <si>
    <t>Implementation /Selection Rationale</t>
  </si>
  <si>
    <t>Wall</t>
  </si>
  <si>
    <t>Window</t>
  </si>
  <si>
    <t>kWh/annum</t>
  </si>
  <si>
    <t>Savings (£/annum)</t>
  </si>
  <si>
    <t>Payback (years)</t>
  </si>
  <si>
    <r>
      <t>Carbon Reduction (kgCO</t>
    </r>
    <r>
      <rPr>
        <b/>
        <vertAlign val="subscript"/>
        <sz val="11"/>
        <color theme="0"/>
        <rFont val="Calibri"/>
        <family val="2"/>
        <scheme val="minor"/>
      </rPr>
      <t>2</t>
    </r>
    <r>
      <rPr>
        <b/>
        <sz val="11"/>
        <color theme="0"/>
        <rFont val="Calibri"/>
        <family val="2"/>
        <scheme val="minor"/>
      </rPr>
      <t>e/annum)</t>
    </r>
  </si>
  <si>
    <t>Yes</t>
  </si>
  <si>
    <t>uPVC Frame</t>
  </si>
  <si>
    <t>Masonry Cavity Walls</t>
  </si>
  <si>
    <t>User Data Sources and Assumptions</t>
  </si>
  <si>
    <t>Input</t>
  </si>
  <si>
    <t>Notes on data sources &amp; assumptions</t>
  </si>
  <si>
    <t>Link</t>
  </si>
  <si>
    <t>Building 
Type</t>
  </si>
  <si>
    <t>Design Capacity (kW)</t>
  </si>
  <si>
    <t>Version Control</t>
  </si>
  <si>
    <t>Version Number</t>
  </si>
  <si>
    <t>Date Produced</t>
  </si>
  <si>
    <t>Owner Initials</t>
  </si>
  <si>
    <t>Key Changes</t>
  </si>
  <si>
    <t>MA</t>
  </si>
  <si>
    <t>Initial Release</t>
  </si>
  <si>
    <t>Correction to New Annual Losses Total formulae (column AI) on Fabric Changes tab</t>
  </si>
  <si>
    <t>Addition of carbon reduction per annum, user guidance updates in line with changes and updated costs</t>
  </si>
  <si>
    <t>No</t>
  </si>
  <si>
    <t>Stories</t>
  </si>
  <si>
    <t>Wall to Floor 
Ratio</t>
  </si>
  <si>
    <t>Unknown</t>
  </si>
  <si>
    <t>Roof Style</t>
  </si>
  <si>
    <t>Typical 
Height (m)</t>
  </si>
  <si>
    <t>Flat Roof</t>
  </si>
  <si>
    <t>Pitched Roof 
(Rafter Insulation)</t>
  </si>
  <si>
    <r>
      <t>W/m</t>
    </r>
    <r>
      <rPr>
        <b/>
        <sz val="11"/>
        <color theme="1"/>
        <rFont val="Calibri Light"/>
        <family val="2"/>
      </rPr>
      <t>²</t>
    </r>
  </si>
  <si>
    <t>Windows and Personel Doors as % of exposed wall</t>
  </si>
  <si>
    <t>Places of Assembly (Offices and Shops)</t>
  </si>
  <si>
    <t>Industrial and storage buildings</t>
  </si>
  <si>
    <t>New Insulated/Retrofit</t>
  </si>
  <si>
    <t>Walls</t>
  </si>
  <si>
    <t>Floors</t>
  </si>
  <si>
    <t>Windows</t>
  </si>
  <si>
    <t>Unmodelled losses</t>
  </si>
  <si>
    <t>Infiltration &amp; ventilation</t>
  </si>
  <si>
    <t>Floor</t>
  </si>
  <si>
    <t>U Values</t>
  </si>
  <si>
    <t>Year</t>
  </si>
  <si>
    <t>Floor Type</t>
  </si>
  <si>
    <t>Uninsulated solid floor</t>
  </si>
  <si>
    <t>1940-1966</t>
  </si>
  <si>
    <t>Double Glazed pre-2002</t>
  </si>
  <si>
    <t>Uninsulated suspended floor</t>
  </si>
  <si>
    <t>1967-1975</t>
  </si>
  <si>
    <t>Double Glazed 2002 onwards</t>
  </si>
  <si>
    <t>Insulated solid floor</t>
  </si>
  <si>
    <t>1976-1982</t>
  </si>
  <si>
    <t>Insulated suspended floor</t>
  </si>
  <si>
    <t>1983-1990</t>
  </si>
  <si>
    <t>1991-1995</t>
  </si>
  <si>
    <t>1996-2002</t>
  </si>
  <si>
    <t>2003-2006</t>
  </si>
  <si>
    <t>2007 onwards</t>
  </si>
  <si>
    <t>INSULATION CAPEX (£/m²)</t>
  </si>
  <si>
    <t>https://www.ons.gov.uk/economy/inflationandpriceindices/timeseries/l55o/mm23</t>
  </si>
  <si>
    <t>Solid Wall</t>
  </si>
  <si>
    <t>Steel Frame</t>
  </si>
  <si>
    <t xml:space="preserve">Floors </t>
  </si>
  <si>
    <t>Unknown Window Type</t>
  </si>
  <si>
    <t>Timber Frame</t>
  </si>
  <si>
    <t>Secure</t>
  </si>
  <si>
    <r>
      <t>CapEx (£/m</t>
    </r>
    <r>
      <rPr>
        <vertAlign val="superscript"/>
        <sz val="11"/>
        <color theme="1"/>
        <rFont val="Calibri"/>
        <family val="2"/>
        <scheme val="minor"/>
      </rPr>
      <t>2</t>
    </r>
    <r>
      <rPr>
        <sz val="11"/>
        <color theme="1"/>
        <rFont val="Calibri"/>
        <family val="2"/>
        <scheme val="minor"/>
      </rPr>
      <t>)</t>
    </r>
  </si>
  <si>
    <r>
      <t>MEP Capex (£/m</t>
    </r>
    <r>
      <rPr>
        <vertAlign val="superscript"/>
        <sz val="11"/>
        <color theme="1"/>
        <rFont val="Calibri"/>
        <family val="2"/>
        <scheme val="minor"/>
      </rPr>
      <t>2</t>
    </r>
    <r>
      <rPr>
        <sz val="11"/>
        <color theme="1"/>
        <rFont val="Calibri"/>
        <family val="2"/>
        <scheme val="minor"/>
      </rPr>
      <t>)</t>
    </r>
  </si>
  <si>
    <t>compound inflation</t>
  </si>
  <si>
    <t>Geographical location outside temperatures</t>
  </si>
  <si>
    <t>Average</t>
  </si>
  <si>
    <t>Thames</t>
  </si>
  <si>
    <t>S.E. England</t>
  </si>
  <si>
    <t>S. England</t>
  </si>
  <si>
    <t>S.W. England</t>
  </si>
  <si>
    <t>Severn Wales&amp;England</t>
  </si>
  <si>
    <t>W Pennies Wales&amp;England</t>
  </si>
  <si>
    <t>N.W. England/
S.W. Scotland</t>
  </si>
  <si>
    <t>Borders Scotland &amp; England</t>
  </si>
  <si>
    <t>N.E. England</t>
  </si>
  <si>
    <t>E. Pennines</t>
  </si>
  <si>
    <t>E. Anglia</t>
  </si>
  <si>
    <t>Wales</t>
  </si>
  <si>
    <t>W. Scotland</t>
  </si>
  <si>
    <t>E. Scotland</t>
  </si>
  <si>
    <t>N.E. Scotland</t>
  </si>
  <si>
    <t>Highland</t>
  </si>
  <si>
    <t>Western Isles</t>
  </si>
  <si>
    <t>Orkney</t>
  </si>
  <si>
    <t>Shetland</t>
  </si>
  <si>
    <t>N. Ireland</t>
  </si>
  <si>
    <t>Hours</t>
  </si>
  <si>
    <t xml:space="preserve">Emissions </t>
  </si>
  <si>
    <r>
      <t>kgCO</t>
    </r>
    <r>
      <rPr>
        <b/>
        <vertAlign val="subscript"/>
        <sz val="11"/>
        <color theme="1"/>
        <rFont val="Calibri"/>
        <family val="2"/>
        <scheme val="minor"/>
      </rPr>
      <t>2</t>
    </r>
    <r>
      <rPr>
        <b/>
        <sz val="11"/>
        <color theme="1"/>
        <rFont val="Calibri"/>
        <family val="2"/>
        <scheme val="minor"/>
      </rPr>
      <t>e/kWh</t>
    </r>
  </si>
  <si>
    <t>Scope</t>
  </si>
  <si>
    <t>Source</t>
  </si>
  <si>
    <t>GHG reporting 2022</t>
  </si>
  <si>
    <t>Scope 2</t>
  </si>
  <si>
    <t>Electricity Grid</t>
  </si>
  <si>
    <t>Scope 1</t>
  </si>
  <si>
    <t>Biomass</t>
  </si>
  <si>
    <t>Burning Oil</t>
  </si>
  <si>
    <t>LPG</t>
  </si>
  <si>
    <t>Reference Number</t>
  </si>
  <si>
    <t>Data</t>
  </si>
  <si>
    <t>Used in</t>
  </si>
  <si>
    <t xml:space="preserve">U-values </t>
  </si>
  <si>
    <t>rdSAP 2009 v9.91 Appendix S
Walls: Table S6
Roofs: Table S10
Windows: Table S14</t>
  </si>
  <si>
    <t>User Input Tab</t>
  </si>
  <si>
    <t xml:space="preserve">Regulation Proportion of exposed wall area for windows and doors
</t>
  </si>
  <si>
    <t>Building Reg Part L2B
Table 2: Opening areas in the extension</t>
  </si>
  <si>
    <t>Insulation CAPEX</t>
  </si>
  <si>
    <t>Retrofit cost data source: Minitry of Housing, Communities and Local Goverment Energy Performance of Buildings Directive
Second Cost Optimal Assessment for the United Kingdom (excluding Gibraltar)
Table 11.11</t>
  </si>
  <si>
    <t>Fabric Changes Tab</t>
  </si>
  <si>
    <t>Retrofit U-values</t>
  </si>
  <si>
    <t>The Building Regulations 1985,
The Building Regulations 1995
The Building Regulations 2002
The Building Regulations 2006
The Building Regulations 2010 v1 &amp; v2,
The Building Regulations - 2013 with 2016 ammendments</t>
  </si>
  <si>
    <t>Floor U-Values</t>
  </si>
  <si>
    <t>Arup Museums and Galleries U-Value Guide</t>
  </si>
  <si>
    <t>User Input and Fabric Changes Tab</t>
  </si>
  <si>
    <t>SAP 2012
Appendix U: Climate Data; UQ: External Temperature</t>
  </si>
  <si>
    <t>BEES Energy Use benchmarks</t>
  </si>
  <si>
    <t>Building Energy Efficiency Survey (BEES)</t>
  </si>
  <si>
    <t>Typical floor-to-floor height</t>
  </si>
  <si>
    <t>Table C.6: Mean non-electrical energy intensity by energy end use category and community, arts &amp; leisure sub-sector, 2014—15</t>
  </si>
  <si>
    <t>Years: 2014 to 2015</t>
  </si>
  <si>
    <t>Coverage: England and Wales</t>
  </si>
  <si>
    <t>BEES energy end use category</t>
  </si>
  <si>
    <t>Cafes</t>
  </si>
  <si>
    <t>Clubs &amp; Community centres</t>
  </si>
  <si>
    <t>Cold stores</t>
  </si>
  <si>
    <t>Factories</t>
  </si>
  <si>
    <t>Fire/ambulance stations</t>
  </si>
  <si>
    <t>Hairdressers &amp; beauty salons</t>
  </si>
  <si>
    <t>Health centres</t>
  </si>
  <si>
    <t>Higher education - residential</t>
  </si>
  <si>
    <t>Higher education – teaching &amp; research</t>
  </si>
  <si>
    <t>Hospitals</t>
  </si>
  <si>
    <t>Hotels</t>
  </si>
  <si>
    <t>Large distribution warehouses</t>
  </si>
  <si>
    <t>Large food shops</t>
  </si>
  <si>
    <t>Large non-food shops</t>
  </si>
  <si>
    <t>Law courts</t>
  </si>
  <si>
    <t>Leisure centres</t>
  </si>
  <si>
    <t>Military accommodation</t>
  </si>
  <si>
    <t>Military offices</t>
  </si>
  <si>
    <t>Miltary storage</t>
  </si>
  <si>
    <t>Museums</t>
  </si>
  <si>
    <t>Nurseries</t>
  </si>
  <si>
    <t>Nursing homes</t>
  </si>
  <si>
    <t>Offices (private)</t>
  </si>
  <si>
    <t>Places of worship</t>
  </si>
  <si>
    <t>Police stations</t>
  </si>
  <si>
    <t>Prisons</t>
  </si>
  <si>
    <t>Pubs</t>
  </si>
  <si>
    <t>Restaurants &amp; takeaways</t>
  </si>
  <si>
    <t>Retail warehouses</t>
  </si>
  <si>
    <t>Showrooms</t>
  </si>
  <si>
    <t>Small shops</t>
  </si>
  <si>
    <t>State Primary schools</t>
  </si>
  <si>
    <t>State Secondary schools</t>
  </si>
  <si>
    <t>Stores</t>
  </si>
  <si>
    <t>Theatres</t>
  </si>
  <si>
    <t>Warehouses</t>
  </si>
  <si>
    <t>Workshops</t>
  </si>
  <si>
    <r>
      <t>Energy intensity (kWh/m</t>
    </r>
    <r>
      <rPr>
        <b/>
        <vertAlign val="superscript"/>
        <sz val="12"/>
        <rFont val="Arial"/>
        <family val="2"/>
      </rPr>
      <t xml:space="preserve">2 </t>
    </r>
    <r>
      <rPr>
        <b/>
        <sz val="12"/>
        <rFont val="Arial"/>
        <family val="2"/>
      </rPr>
      <t>per year)</t>
    </r>
  </si>
  <si>
    <t>All sub-sectors</t>
  </si>
  <si>
    <t>Catering</t>
  </si>
  <si>
    <t>-</t>
  </si>
  <si>
    <t>Hot water</t>
  </si>
  <si>
    <t>Humidification</t>
  </si>
  <si>
    <t xml:space="preserve"> -</t>
  </si>
  <si>
    <t>Medical equipment</t>
  </si>
  <si>
    <t>Other</t>
  </si>
  <si>
    <t>Pool/leisure</t>
  </si>
  <si>
    <t xml:space="preserve">Space heating </t>
  </si>
  <si>
    <t>Unweighted base</t>
  </si>
  <si>
    <t>Building fabric intervention estimator</t>
  </si>
  <si>
    <t>Feasibility and design:</t>
  </si>
  <si>
    <t>It should be noted that costs for building fabric retrofit are highly dependent on many factors and that this estimator can only provide broad estimates, which are based on  examples developed as part of the Energy Systems Catapult Modern Energy Partners programme carried out in 2021. These have been adjusted and compound inflation has been added to represent expected 2023 pricing. To do this, two years of CPI have been applied (2.5% for 2021 and 7.9% for 2022) - Source: ONS Inflation and Price Indices.
Users should be particularly aware of site specific aspects that can have a dramatic influence on costs such as security, access and continuity of use requirements. Significant cost uplifts might be required to account for these.</t>
  </si>
  <si>
    <t>Select Site Type from drop-down menu:
• Standard (applicable to majority of sites - costs based off NHS and MOD references); or
• High- security (applicable to sites where additional security measures are required, e.g. prisons - costs based off MOJ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</si>
</sst>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quot;£&quot;#,##0.00"/>
    <numFmt numFmtId="166" formatCode="0.000"/>
    <numFmt numFmtId="167" formatCode="_-* #,##0_-;\-* #,##0_-;_-* &quot;-&quot;??_-;_-@_-"/>
    <numFmt numFmtId="168" formatCode="&quot;£&quot;#,##0.000"/>
    <numFmt numFmtId="169" formatCode="&quot;£&quot;#,##0"/>
    <numFmt numFmtId="170" formatCode="0%;\-0%;&quot;&quot;;&quot;&quot;"/>
    <numFmt numFmtId="171" formatCode="0.00;\-0.00;&quot;&quot;;&quot;&quot;"/>
    <numFmt numFmtId="172" formatCode="0.0;\-0.0;&quot;&quot;;&quot;&quot;"/>
    <numFmt numFmtId="173" formatCode="#,##0;[Red]\-#,##0;&quot;&quot;;&quot;&quot;"/>
    <numFmt numFmtId="174" formatCode="&quot;£&quot;#,##0;[Red]\-&quot;£&quot;#,##0;&quot;&quot;;&quot;&quot;"/>
    <numFmt numFmtId="175" formatCode="#,##0.00;[Red]\-#,##0.00;&quot;&quot;;&quot;&quot;"/>
  </numFmts>
  <fonts count="58" x14ac:knownFonts="1">
    <font>
      <sz val="11"/>
      <color theme="1"/>
      <name val="Calibri"/>
      <family val="2"/>
      <scheme val="minor"/>
    </font>
    <font>
      <sz val="10"/>
      <color theme="1"/>
      <name val="Arial"/>
      <family val="2"/>
    </font>
    <font>
      <b/>
      <sz val="11"/>
      <color theme="1"/>
      <name val="Calibri"/>
      <family val="2"/>
      <scheme val="minor"/>
    </font>
    <font>
      <sz val="16"/>
      <color theme="7"/>
      <name val="Calibri"/>
      <family val="2"/>
      <scheme val="minor"/>
    </font>
    <font>
      <sz val="10"/>
      <color theme="8" tint="-0.24994659260841701"/>
      <name val="Calibri"/>
      <family val="2"/>
      <scheme val="minor"/>
    </font>
    <font>
      <b/>
      <sz val="10"/>
      <color theme="1"/>
      <name val="Calibri"/>
      <family val="2"/>
      <scheme val="minor"/>
    </font>
    <font>
      <sz val="10"/>
      <name val="Arial"/>
      <family val="2"/>
    </font>
    <font>
      <sz val="10"/>
      <color theme="1"/>
      <name val="Calibri"/>
      <family val="2"/>
      <scheme val="minor"/>
    </font>
    <font>
      <sz val="10"/>
      <name val="Calibri"/>
      <family val="2"/>
      <scheme val="minor"/>
    </font>
    <font>
      <b/>
      <sz val="10"/>
      <color theme="6" tint="-0.499984740745262"/>
      <name val="Calibri"/>
      <family val="2"/>
      <scheme val="minor"/>
    </font>
    <font>
      <b/>
      <sz val="10"/>
      <color theme="5"/>
      <name val="Calibri"/>
      <family val="2"/>
      <scheme val="minor"/>
    </font>
    <font>
      <sz val="20"/>
      <color theme="7"/>
      <name val="Calibri"/>
      <family val="2"/>
      <scheme val="minor"/>
    </font>
    <font>
      <b/>
      <sz val="12"/>
      <color theme="7"/>
      <name val="Calibri"/>
      <family val="2"/>
      <scheme val="minor"/>
    </font>
    <font>
      <b/>
      <sz val="11"/>
      <name val="Calibri"/>
      <family val="2"/>
      <scheme val="minor"/>
    </font>
    <font>
      <u/>
      <sz val="11"/>
      <color theme="10"/>
      <name val="Calibri"/>
      <family val="2"/>
    </font>
    <font>
      <i/>
      <sz val="11"/>
      <color theme="1"/>
      <name val="Calibri"/>
      <family val="2"/>
      <scheme val="minor"/>
    </font>
    <font>
      <sz val="11"/>
      <color theme="1"/>
      <name val="Calibri"/>
      <family val="2"/>
      <scheme val="minor"/>
    </font>
    <font>
      <sz val="8"/>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12"/>
      <color theme="10"/>
      <name val="Arial"/>
      <family val="2"/>
    </font>
    <font>
      <sz val="12"/>
      <name val="Arial"/>
      <family val="2"/>
    </font>
    <font>
      <b/>
      <sz val="12"/>
      <name val="Arial"/>
      <family val="2"/>
    </font>
    <font>
      <sz val="12"/>
      <color theme="1"/>
      <name val="Arial"/>
      <family val="2"/>
    </font>
    <font>
      <sz val="12"/>
      <color rgb="FF000000"/>
      <name val="Arial"/>
      <family val="2"/>
    </font>
    <font>
      <b/>
      <vertAlign val="superscript"/>
      <sz val="12"/>
      <name val="Arial"/>
      <family val="2"/>
    </font>
    <font>
      <b/>
      <sz val="12"/>
      <color theme="1"/>
      <name val="Arial"/>
      <family val="2"/>
    </font>
    <font>
      <b/>
      <sz val="12"/>
      <color rgb="FF000000"/>
      <name val="Arial"/>
      <family val="2"/>
    </font>
    <font>
      <i/>
      <sz val="12"/>
      <color theme="1"/>
      <name val="Arial"/>
      <family val="2"/>
    </font>
    <font>
      <i/>
      <sz val="12"/>
      <color rgb="FF000000"/>
      <name val="Arial"/>
      <family val="2"/>
    </font>
    <font>
      <i/>
      <sz val="10"/>
      <color theme="1"/>
      <name val="Arial"/>
      <family val="2"/>
    </font>
    <font>
      <vertAlign val="superscript"/>
      <sz val="11"/>
      <color theme="1"/>
      <name val="Calibri"/>
      <family val="2"/>
      <scheme val="minor"/>
    </font>
    <font>
      <sz val="9"/>
      <color indexed="81"/>
      <name val="Tahoma"/>
      <family val="2"/>
    </font>
    <font>
      <b/>
      <sz val="9"/>
      <color indexed="81"/>
      <name val="Tahoma"/>
      <family val="2"/>
    </font>
    <font>
      <b/>
      <sz val="11"/>
      <color theme="1"/>
      <name val="Calibri Light"/>
      <family val="2"/>
    </font>
    <font>
      <b/>
      <sz val="11"/>
      <color theme="0"/>
      <name val="Calibri"/>
      <family val="2"/>
      <scheme val="minor"/>
    </font>
    <font>
      <b/>
      <i/>
      <sz val="11"/>
      <color theme="0"/>
      <name val="Calibri"/>
      <family val="2"/>
      <scheme val="minor"/>
    </font>
    <font>
      <i/>
      <vertAlign val="superscript"/>
      <sz val="11"/>
      <color theme="0"/>
      <name val="Calibri"/>
      <family val="2"/>
      <scheme val="minor"/>
    </font>
    <font>
      <b/>
      <i/>
      <vertAlign val="superscript"/>
      <sz val="11"/>
      <color theme="0"/>
      <name val="Calibri"/>
      <family val="2"/>
      <scheme val="minor"/>
    </font>
    <font>
      <sz val="11"/>
      <name val="Calibri"/>
      <family val="2"/>
      <scheme val="minor"/>
    </font>
    <font>
      <i/>
      <sz val="11"/>
      <name val="Calibri"/>
      <family val="2"/>
      <scheme val="minor"/>
    </font>
    <font>
      <i/>
      <sz val="11"/>
      <color theme="0" tint="-0.499984740745262"/>
      <name val="Calibri"/>
      <family val="2"/>
      <scheme val="minor"/>
    </font>
    <font>
      <b/>
      <vertAlign val="subscript"/>
      <sz val="11"/>
      <color theme="1"/>
      <name val="Calibri"/>
      <family val="2"/>
      <scheme val="minor"/>
    </font>
    <font>
      <b/>
      <vertAlign val="subscript"/>
      <sz val="11"/>
      <color theme="0"/>
      <name val="Calibri"/>
      <family val="2"/>
      <scheme val="minor"/>
    </font>
    <font>
      <sz val="11"/>
      <color theme="1"/>
      <name val="Segoe UI"/>
      <family val="2"/>
    </font>
    <font>
      <b/>
      <sz val="16"/>
      <color theme="1"/>
      <name val="Segoe UI"/>
      <family val="2"/>
    </font>
    <font>
      <i/>
      <sz val="11"/>
      <color theme="1"/>
      <name val="Segoe UI"/>
      <family val="2"/>
    </font>
    <font>
      <b/>
      <i/>
      <sz val="11"/>
      <color theme="1"/>
      <name val="Segoe UI"/>
      <family val="2"/>
    </font>
    <font>
      <b/>
      <sz val="11"/>
      <color theme="1"/>
      <name val="Segoe UI"/>
      <family val="2"/>
    </font>
    <font>
      <b/>
      <sz val="11"/>
      <color theme="0"/>
      <name val="Segoe UI"/>
      <family val="2"/>
    </font>
    <font>
      <b/>
      <u/>
      <sz val="11"/>
      <color theme="1"/>
      <name val="Segoe UI"/>
      <family val="2"/>
    </font>
    <font>
      <u/>
      <sz val="11"/>
      <color theme="1"/>
      <name val="Segoe UI"/>
      <family val="2"/>
    </font>
    <font>
      <sz val="11"/>
      <name val="Segoe UI"/>
      <family val="2"/>
    </font>
    <font>
      <i/>
      <sz val="11"/>
      <name val="Segoe UI"/>
      <family val="2"/>
    </font>
    <font>
      <b/>
      <sz val="11"/>
      <name val="Segoe UI"/>
      <family val="2"/>
    </font>
    <font>
      <b/>
      <sz val="20"/>
      <color theme="1"/>
      <name val="Segoe UI"/>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9" tint="-0.2499465926084170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5ABB"/>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double">
        <color auto="1"/>
      </top>
      <bottom/>
      <diagonal/>
    </border>
    <border>
      <left/>
      <right/>
      <top/>
      <bottom style="double">
        <color auto="1"/>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bottom style="hair">
        <color auto="1"/>
      </bottom>
      <diagonal/>
    </border>
    <border>
      <left style="hair">
        <color auto="1"/>
      </left>
      <right/>
      <top style="hair">
        <color auto="1"/>
      </top>
      <bottom style="thin">
        <color indexed="64"/>
      </bottom>
      <diagonal/>
    </border>
    <border>
      <left style="hair">
        <color auto="1"/>
      </left>
      <right style="thin">
        <color auto="1"/>
      </right>
      <top/>
      <bottom style="hair">
        <color auto="1"/>
      </bottom>
      <diagonal/>
    </border>
    <border>
      <left style="hair">
        <color auto="1"/>
      </left>
      <right/>
      <top/>
      <bottom style="hair">
        <color auto="1"/>
      </bottom>
      <diagonal/>
    </border>
  </borders>
  <cellStyleXfs count="27">
    <xf numFmtId="0" fontId="0" fillId="0" borderId="0"/>
    <xf numFmtId="0" fontId="1" fillId="0" borderId="0"/>
    <xf numFmtId="9" fontId="1" fillId="0" borderId="0" applyFont="0" applyFill="0" applyBorder="0" applyAlignment="0" applyProtection="0"/>
    <xf numFmtId="0" fontId="7" fillId="5" borderId="0" applyNumberFormat="0" applyFont="0" applyBorder="0" applyAlignment="0"/>
    <xf numFmtId="0" fontId="7" fillId="8" borderId="0" applyNumberFormat="0" applyFont="0" applyBorder="0" applyAlignment="0"/>
    <xf numFmtId="0" fontId="7" fillId="0" borderId="0"/>
    <xf numFmtId="0" fontId="11" fillId="0" borderId="0" applyNumberFormat="0" applyFill="0" applyBorder="0" applyAlignment="0"/>
    <xf numFmtId="0" fontId="6" fillId="11" borderId="0" applyNumberFormat="0" applyAlignment="0">
      <alignment horizontal="center" wrapText="1"/>
    </xf>
    <xf numFmtId="0" fontId="4" fillId="2" borderId="0" applyNumberFormat="0" applyBorder="0" applyAlignment="0"/>
    <xf numFmtId="0" fontId="3" fillId="0" borderId="0" applyNumberFormat="0" applyFill="0" applyBorder="0" applyAlignment="0"/>
    <xf numFmtId="0" fontId="5" fillId="0" borderId="0" applyNumberFormat="0" applyFill="0" applyBorder="0" applyAlignment="0"/>
    <xf numFmtId="0" fontId="9" fillId="9" borderId="0" applyNumberFormat="0" applyBorder="0" applyAlignment="0"/>
    <xf numFmtId="0" fontId="8" fillId="6" borderId="0" applyNumberFormat="0" applyFont="0" applyBorder="0" applyAlignment="0">
      <protection locked="0"/>
    </xf>
    <xf numFmtId="0" fontId="8" fillId="7" borderId="0" applyNumberFormat="0" applyFont="0" applyBorder="0" applyAlignment="0"/>
    <xf numFmtId="0" fontId="8" fillId="3" borderId="0" applyNumberFormat="0" applyFont="0" applyBorder="0" applyAlignment="0"/>
    <xf numFmtId="0" fontId="8" fillId="4" borderId="0" applyNumberFormat="0" applyFont="0" applyBorder="0" applyAlignment="0"/>
    <xf numFmtId="0" fontId="10" fillId="10" borderId="0" applyNumberFormat="0" applyBorder="0" applyAlignment="0"/>
    <xf numFmtId="0" fontId="12" fillId="0" borderId="0" applyNumberFormat="0" applyFill="0" applyBorder="0" applyAlignment="0"/>
    <xf numFmtId="0" fontId="13" fillId="0" borderId="0" applyNumberFormat="0" applyFill="0" applyBorder="0" applyAlignment="0"/>
    <xf numFmtId="0" fontId="14" fillId="0" borderId="0" applyNumberFormat="0" applyFill="0" applyBorder="0" applyAlignment="0" applyProtection="0">
      <alignment vertical="top"/>
      <protection locked="0"/>
    </xf>
    <xf numFmtId="9" fontId="16" fillId="0" borderId="0" applyFont="0" applyFill="0" applyBorder="0" applyAlignment="0" applyProtection="0"/>
    <xf numFmtId="43" fontId="16"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0" borderId="0"/>
    <xf numFmtId="0" fontId="23" fillId="0" borderId="0"/>
    <xf numFmtId="43" fontId="16" fillId="0" borderId="0" applyFont="0" applyFill="0" applyBorder="0" applyAlignment="0" applyProtection="0"/>
  </cellStyleXfs>
  <cellXfs count="355">
    <xf numFmtId="0" fontId="0" fillId="0" borderId="0" xfId="0"/>
    <xf numFmtId="0" fontId="0" fillId="0" borderId="0" xfId="0" applyAlignment="1">
      <alignment horizontal="center"/>
    </xf>
    <xf numFmtId="0" fontId="0" fillId="0" borderId="1" xfId="0" applyBorder="1" applyAlignment="1">
      <alignment horizontal="center"/>
    </xf>
    <xf numFmtId="0" fontId="0" fillId="0" borderId="4" xfId="0" applyBorder="1"/>
    <xf numFmtId="0" fontId="0" fillId="0" borderId="6" xfId="0" applyBorder="1"/>
    <xf numFmtId="0" fontId="0" fillId="0" borderId="5" xfId="0" applyBorder="1"/>
    <xf numFmtId="0" fontId="0" fillId="0" borderId="7" xfId="0" applyBorder="1"/>
    <xf numFmtId="0" fontId="0" fillId="0" borderId="1" xfId="0" applyBorder="1"/>
    <xf numFmtId="0" fontId="0" fillId="0" borderId="9" xfId="0" applyBorder="1"/>
    <xf numFmtId="0" fontId="2" fillId="0" borderId="0" xfId="0" applyFont="1"/>
    <xf numFmtId="0" fontId="2" fillId="0" borderId="0" xfId="0" applyFont="1" applyAlignment="1">
      <alignment horizontal="center"/>
    </xf>
    <xf numFmtId="9" fontId="0" fillId="0" borderId="0" xfId="0" applyNumberFormat="1" applyAlignment="1">
      <alignment horizontal="center"/>
    </xf>
    <xf numFmtId="165" fontId="0" fillId="0" borderId="1" xfId="0" applyNumberFormat="1" applyBorder="1"/>
    <xf numFmtId="0" fontId="0" fillId="0" borderId="0" xfId="0" applyAlignment="1">
      <alignment wrapText="1"/>
    </xf>
    <xf numFmtId="0" fontId="0" fillId="0" borderId="4" xfId="0" applyBorder="1" applyAlignment="1">
      <alignment wrapText="1"/>
    </xf>
    <xf numFmtId="0" fontId="0" fillId="0" borderId="6" xfId="0" applyBorder="1" applyAlignment="1">
      <alignment wrapText="1"/>
    </xf>
    <xf numFmtId="0" fontId="18" fillId="0" borderId="0" xfId="0" applyFont="1"/>
    <xf numFmtId="0" fontId="0" fillId="0" borderId="1" xfId="0" applyBorder="1" applyAlignment="1">
      <alignment vertical="top" wrapText="1"/>
    </xf>
    <xf numFmtId="0" fontId="0" fillId="0" borderId="1" xfId="0" applyBorder="1" applyAlignment="1">
      <alignment wrapText="1"/>
    </xf>
    <xf numFmtId="0" fontId="2" fillId="0" borderId="1" xfId="0" applyFont="1" applyBorder="1"/>
    <xf numFmtId="0" fontId="0" fillId="0" borderId="1" xfId="0" applyBorder="1" applyAlignment="1">
      <alignment vertical="top"/>
    </xf>
    <xf numFmtId="0" fontId="0" fillId="0" borderId="0" xfId="0" applyAlignment="1">
      <alignment vertical="top"/>
    </xf>
    <xf numFmtId="43" fontId="0" fillId="0" borderId="0" xfId="0" applyNumberFormat="1"/>
    <xf numFmtId="0" fontId="0" fillId="0" borderId="1" xfId="0" applyBorder="1" applyAlignment="1">
      <alignment vertical="center" wrapText="1"/>
    </xf>
    <xf numFmtId="0" fontId="0" fillId="0" borderId="0" xfId="0" applyAlignment="1">
      <alignment vertical="center"/>
    </xf>
    <xf numFmtId="0" fontId="0" fillId="0" borderId="5" xfId="0" applyBorder="1" applyAlignment="1">
      <alignment horizontal="center"/>
    </xf>
    <xf numFmtId="0" fontId="0" fillId="0" borderId="7" xfId="0" applyBorder="1" applyAlignment="1">
      <alignment horizontal="center"/>
    </xf>
    <xf numFmtId="0" fontId="0" fillId="0" borderId="1" xfId="0" applyBorder="1" applyAlignment="1">
      <alignment horizontal="center" vertical="top"/>
    </xf>
    <xf numFmtId="0" fontId="0" fillId="0" borderId="0" xfId="0" applyAlignment="1">
      <alignment horizontal="center" vertical="top"/>
    </xf>
    <xf numFmtId="0" fontId="2" fillId="0" borderId="2" xfId="0" applyFont="1" applyBorder="1" applyAlignment="1">
      <alignment vertical="center"/>
    </xf>
    <xf numFmtId="0" fontId="2" fillId="0" borderId="3" xfId="0" applyFont="1" applyBorder="1" applyAlignment="1">
      <alignment horizontal="center" vertical="center" wrapText="1"/>
    </xf>
    <xf numFmtId="0" fontId="2" fillId="0" borderId="0" xfId="0" applyFont="1" applyAlignment="1">
      <alignment vertical="center"/>
    </xf>
    <xf numFmtId="0" fontId="0" fillId="0" borderId="0" xfId="0" applyAlignment="1">
      <alignment horizontal="center" vertical="center" wrapText="1"/>
    </xf>
    <xf numFmtId="0" fontId="0" fillId="0" borderId="1" xfId="0" applyBorder="1" applyAlignment="1">
      <alignment vertical="center"/>
    </xf>
    <xf numFmtId="0" fontId="22" fillId="0" borderId="0" xfId="23" applyAlignment="1" applyProtection="1"/>
    <xf numFmtId="0" fontId="24" fillId="0" borderId="0" xfId="24" applyFont="1"/>
    <xf numFmtId="0" fontId="25" fillId="0" borderId="17" xfId="0" applyFont="1" applyBorder="1"/>
    <xf numFmtId="0" fontId="25" fillId="0" borderId="0" xfId="0" applyFont="1"/>
    <xf numFmtId="0" fontId="25" fillId="0" borderId="0" xfId="0" applyFont="1" applyAlignment="1">
      <alignment wrapText="1"/>
    </xf>
    <xf numFmtId="0" fontId="25" fillId="0" borderId="0" xfId="0" applyFont="1" applyAlignment="1">
      <alignment horizontal="right" wrapText="1"/>
    </xf>
    <xf numFmtId="0" fontId="26" fillId="0" borderId="0" xfId="0" applyFont="1"/>
    <xf numFmtId="0" fontId="25" fillId="0" borderId="16" xfId="0" applyFont="1" applyBorder="1"/>
    <xf numFmtId="0" fontId="26" fillId="0" borderId="16" xfId="0" applyFont="1" applyBorder="1"/>
    <xf numFmtId="0" fontId="24" fillId="0" borderId="0" xfId="25" applyFont="1"/>
    <xf numFmtId="0" fontId="28" fillId="0" borderId="0" xfId="0" applyFont="1"/>
    <xf numFmtId="41" fontId="28" fillId="0" borderId="0" xfId="21" applyNumberFormat="1" applyFont="1" applyBorder="1" applyAlignment="1">
      <alignment horizontal="right"/>
    </xf>
    <xf numFmtId="1" fontId="28" fillId="0" borderId="0" xfId="21" applyNumberFormat="1" applyFont="1" applyBorder="1" applyAlignment="1">
      <alignment horizontal="right"/>
    </xf>
    <xf numFmtId="41" fontId="29" fillId="0" borderId="0" xfId="21" applyNumberFormat="1" applyFont="1" applyFill="1" applyBorder="1" applyAlignment="1">
      <alignment horizontal="right"/>
    </xf>
    <xf numFmtId="41" fontId="28" fillId="0" borderId="0" xfId="21" applyNumberFormat="1" applyFont="1" applyAlignment="1">
      <alignment horizontal="right"/>
    </xf>
    <xf numFmtId="41" fontId="25" fillId="0" borderId="0" xfId="21" applyNumberFormat="1" applyFont="1" applyBorder="1" applyAlignment="1">
      <alignment horizontal="right"/>
    </xf>
    <xf numFmtId="41" fontId="26" fillId="0" borderId="0" xfId="21" applyNumberFormat="1" applyFont="1" applyFill="1" applyBorder="1" applyAlignment="1">
      <alignment horizontal="right"/>
    </xf>
    <xf numFmtId="41" fontId="25" fillId="0" borderId="0" xfId="21" applyNumberFormat="1" applyFont="1" applyAlignment="1">
      <alignment horizontal="right"/>
    </xf>
    <xf numFmtId="1" fontId="25" fillId="0" borderId="0" xfId="21" applyNumberFormat="1" applyFont="1" applyBorder="1" applyAlignment="1">
      <alignment horizontal="right"/>
    </xf>
    <xf numFmtId="0" fontId="30" fillId="0" borderId="0" xfId="0" applyFont="1"/>
    <xf numFmtId="41" fontId="30" fillId="0" borderId="0" xfId="21" applyNumberFormat="1" applyFont="1" applyBorder="1" applyAlignment="1">
      <alignment horizontal="right"/>
    </xf>
    <xf numFmtId="0" fontId="15" fillId="0" borderId="0" xfId="0" applyFont="1"/>
    <xf numFmtId="1" fontId="30" fillId="0" borderId="0" xfId="21" applyNumberFormat="1" applyFont="1" applyBorder="1" applyAlignment="1">
      <alignment horizontal="right"/>
    </xf>
    <xf numFmtId="41" fontId="31" fillId="0" borderId="0" xfId="21" applyNumberFormat="1" applyFont="1" applyFill="1" applyBorder="1" applyAlignment="1">
      <alignment horizontal="right"/>
    </xf>
    <xf numFmtId="41" fontId="30" fillId="0" borderId="0" xfId="21" applyNumberFormat="1" applyFont="1" applyAlignment="1">
      <alignment horizontal="right"/>
    </xf>
    <xf numFmtId="0" fontId="25" fillId="0" borderId="18" xfId="0" applyFont="1" applyBorder="1"/>
    <xf numFmtId="0" fontId="32" fillId="0" borderId="0" xfId="0" applyFont="1" applyAlignment="1">
      <alignment horizontal="right" vertical="center"/>
    </xf>
    <xf numFmtId="166" fontId="25" fillId="0" borderId="0" xfId="0" applyNumberFormat="1" applyFont="1"/>
    <xf numFmtId="0" fontId="28" fillId="0" borderId="0" xfId="0" applyFont="1" applyAlignment="1">
      <alignment vertical="center"/>
    </xf>
    <xf numFmtId="0" fontId="26" fillId="0" borderId="0" xfId="0" applyFont="1" applyAlignment="1">
      <alignment horizontal="right"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0" fillId="0" borderId="12" xfId="0" applyBorder="1" applyAlignment="1">
      <alignment vertical="top"/>
    </xf>
    <xf numFmtId="0" fontId="0" fillId="0" borderId="12" xfId="0" applyBorder="1" applyAlignment="1">
      <alignment horizontal="center" vertical="top"/>
    </xf>
    <xf numFmtId="0" fontId="2" fillId="0" borderId="0" xfId="0" applyFont="1" applyAlignment="1">
      <alignment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30" xfId="0" applyBorder="1" applyAlignment="1">
      <alignment vertical="center"/>
    </xf>
    <xf numFmtId="0" fontId="2" fillId="0" borderId="20" xfId="0" applyFont="1"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0" fillId="0" borderId="26" xfId="0" applyBorder="1"/>
    <xf numFmtId="0" fontId="0" fillId="0" borderId="19" xfId="0" applyBorder="1" applyAlignment="1">
      <alignment horizontal="left"/>
    </xf>
    <xf numFmtId="9" fontId="0" fillId="0" borderId="25" xfId="0" applyNumberFormat="1" applyBorder="1"/>
    <xf numFmtId="9" fontId="0" fillId="0" borderId="28" xfId="0" applyNumberFormat="1" applyBorder="1"/>
    <xf numFmtId="0" fontId="19" fillId="0" borderId="0" xfId="0" applyFont="1"/>
    <xf numFmtId="167" fontId="0" fillId="0" borderId="0" xfId="21" applyNumberFormat="1" applyFont="1" applyFill="1" applyBorder="1"/>
    <xf numFmtId="2" fontId="0" fillId="0" borderId="0" xfId="0" applyNumberFormat="1"/>
    <xf numFmtId="167" fontId="0" fillId="0" borderId="0" xfId="21" applyNumberFormat="1" applyFont="1" applyFill="1"/>
    <xf numFmtId="0" fontId="2" fillId="0" borderId="0" xfId="0" applyFont="1" applyAlignment="1">
      <alignment wrapText="1"/>
    </xf>
    <xf numFmtId="2" fontId="0" fillId="0" borderId="6" xfId="0" applyNumberFormat="1" applyBorder="1" applyAlignment="1">
      <alignment horizontal="center"/>
    </xf>
    <xf numFmtId="0" fontId="0" fillId="0" borderId="9" xfId="0" applyBorder="1" applyAlignment="1">
      <alignment horizontal="center"/>
    </xf>
    <xf numFmtId="0" fontId="0" fillId="0" borderId="2" xfId="0" applyBorder="1" applyAlignment="1">
      <alignment horizontal="center" vertical="center" wrapText="1"/>
    </xf>
    <xf numFmtId="0" fontId="2" fillId="0" borderId="8"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wrapText="1"/>
    </xf>
    <xf numFmtId="2" fontId="0" fillId="0" borderId="5" xfId="0" applyNumberFormat="1" applyBorder="1" applyAlignment="1">
      <alignment horizontal="center"/>
    </xf>
    <xf numFmtId="9"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0" fillId="12" borderId="9" xfId="0" applyFill="1" applyBorder="1" applyAlignment="1">
      <alignment horizontal="center"/>
    </xf>
    <xf numFmtId="0" fontId="2" fillId="0" borderId="3" xfId="0" applyFont="1" applyBorder="1" applyAlignment="1">
      <alignment vertical="center" wrapText="1"/>
    </xf>
    <xf numFmtId="0" fontId="2" fillId="0" borderId="2" xfId="0" applyFont="1" applyBorder="1" applyAlignment="1">
      <alignment vertical="top"/>
    </xf>
    <xf numFmtId="0" fontId="2" fillId="0" borderId="8" xfId="0" applyFont="1" applyBorder="1" applyAlignment="1">
      <alignment horizontal="center" vertical="top"/>
    </xf>
    <xf numFmtId="0" fontId="2" fillId="0" borderId="3" xfId="0" applyFont="1" applyBorder="1" applyAlignment="1">
      <alignment vertical="top" wrapText="1"/>
    </xf>
    <xf numFmtId="0" fontId="0" fillId="0" borderId="0" xfId="0" applyAlignment="1">
      <alignment horizontal="left"/>
    </xf>
    <xf numFmtId="0" fontId="19" fillId="0" borderId="0" xfId="0" applyFont="1" applyAlignment="1">
      <alignment horizontal="left" vertical="top"/>
    </xf>
    <xf numFmtId="0" fontId="37" fillId="15" borderId="11" xfId="0" applyFont="1" applyFill="1" applyBorder="1" applyAlignment="1">
      <alignment horizontal="left" vertical="center" wrapText="1"/>
    </xf>
    <xf numFmtId="0" fontId="0" fillId="0" borderId="0" xfId="0" applyAlignment="1">
      <alignment horizontal="left" vertical="center"/>
    </xf>
    <xf numFmtId="0" fontId="38" fillId="15" borderId="11" xfId="0" applyFont="1" applyFill="1" applyBorder="1" applyAlignment="1">
      <alignment horizontal="center" vertical="top" wrapText="1"/>
    </xf>
    <xf numFmtId="0" fontId="0" fillId="12" borderId="37" xfId="0" applyFill="1" applyBorder="1" applyProtection="1">
      <protection locked="0"/>
    </xf>
    <xf numFmtId="0" fontId="0" fillId="14" borderId="38" xfId="0" applyFill="1" applyBorder="1"/>
    <xf numFmtId="0" fontId="0" fillId="12" borderId="38" xfId="0" applyFill="1" applyBorder="1" applyProtection="1">
      <protection locked="0"/>
    </xf>
    <xf numFmtId="0" fontId="0" fillId="14" borderId="39" xfId="0" applyFill="1" applyBorder="1"/>
    <xf numFmtId="43" fontId="0" fillId="0" borderId="0" xfId="21" applyFont="1" applyFill="1" applyBorder="1" applyAlignment="1">
      <alignment horizontal="left"/>
    </xf>
    <xf numFmtId="0" fontId="38" fillId="15" borderId="11" xfId="0" applyFont="1" applyFill="1" applyBorder="1" applyAlignment="1">
      <alignment horizontal="left" vertical="top" wrapText="1"/>
    </xf>
    <xf numFmtId="0" fontId="0" fillId="14" borderId="37" xfId="0" applyFill="1" applyBorder="1" applyAlignment="1">
      <alignment horizontal="left"/>
    </xf>
    <xf numFmtId="0" fontId="0" fillId="14" borderId="38" xfId="0" applyFill="1" applyBorder="1" applyAlignment="1">
      <alignment horizontal="left"/>
    </xf>
    <xf numFmtId="0" fontId="41" fillId="0" borderId="0" xfId="0" applyFont="1"/>
    <xf numFmtId="0" fontId="41" fillId="0" borderId="0" xfId="0" applyFont="1" applyAlignment="1">
      <alignment horizontal="left" vertical="center"/>
    </xf>
    <xf numFmtId="0" fontId="42" fillId="0" borderId="0" xfId="0" applyFont="1"/>
    <xf numFmtId="1" fontId="0" fillId="12" borderId="38" xfId="0" applyNumberFormat="1" applyFill="1" applyBorder="1" applyAlignment="1" applyProtection="1">
      <alignment horizontal="left"/>
      <protection locked="0"/>
    </xf>
    <xf numFmtId="0" fontId="0" fillId="12" borderId="38" xfId="12" applyFont="1" applyFill="1" applyBorder="1" applyAlignment="1">
      <alignment horizontal="center"/>
      <protection locked="0"/>
    </xf>
    <xf numFmtId="167" fontId="0" fillId="12" borderId="38" xfId="21" applyNumberFormat="1" applyFont="1" applyFill="1" applyBorder="1" applyAlignment="1" applyProtection="1">
      <alignment horizontal="center"/>
      <protection locked="0"/>
    </xf>
    <xf numFmtId="164" fontId="0" fillId="12" borderId="38" xfId="12" applyNumberFormat="1" applyFont="1" applyFill="1" applyBorder="1" applyAlignment="1">
      <alignment horizontal="center"/>
      <protection locked="0"/>
    </xf>
    <xf numFmtId="0" fontId="0" fillId="12" borderId="39" xfId="0" applyFill="1" applyBorder="1" applyProtection="1">
      <protection locked="0"/>
    </xf>
    <xf numFmtId="1" fontId="0" fillId="12" borderId="39" xfId="0" applyNumberFormat="1" applyFill="1" applyBorder="1" applyAlignment="1" applyProtection="1">
      <alignment horizontal="left"/>
      <protection locked="0"/>
    </xf>
    <xf numFmtId="0" fontId="0" fillId="12" borderId="39" xfId="12" applyFont="1" applyFill="1" applyBorder="1" applyAlignment="1">
      <alignment horizontal="center"/>
      <protection locked="0"/>
    </xf>
    <xf numFmtId="167" fontId="0" fillId="12" borderId="39" xfId="21" applyNumberFormat="1" applyFont="1" applyFill="1" applyBorder="1" applyAlignment="1" applyProtection="1">
      <alignment horizontal="center"/>
      <protection locked="0"/>
    </xf>
    <xf numFmtId="164" fontId="0" fillId="12" borderId="39" xfId="12" applyNumberFormat="1" applyFont="1" applyFill="1" applyBorder="1" applyAlignment="1">
      <alignment horizontal="center"/>
      <protection locked="0"/>
    </xf>
    <xf numFmtId="0" fontId="0" fillId="0" borderId="0" xfId="0" applyAlignment="1">
      <alignment horizontal="left" wrapText="1"/>
    </xf>
    <xf numFmtId="164" fontId="0" fillId="12" borderId="38" xfId="12" applyNumberFormat="1" applyFont="1" applyFill="1" applyBorder="1" applyAlignment="1">
      <alignment horizontal="left"/>
      <protection locked="0"/>
    </xf>
    <xf numFmtId="164" fontId="0" fillId="12" borderId="38" xfId="12" applyNumberFormat="1" applyFont="1" applyFill="1" applyBorder="1" applyAlignment="1">
      <alignment horizontal="left" wrapText="1"/>
      <protection locked="0"/>
    </xf>
    <xf numFmtId="164" fontId="0" fillId="12" borderId="39" xfId="12" applyNumberFormat="1" applyFont="1" applyFill="1" applyBorder="1" applyAlignment="1">
      <alignment horizontal="left"/>
      <protection locked="0"/>
    </xf>
    <xf numFmtId="164" fontId="0" fillId="12" borderId="39" xfId="12" applyNumberFormat="1" applyFont="1" applyFill="1" applyBorder="1" applyAlignment="1">
      <alignment horizontal="left" wrapText="1"/>
      <protection locked="0"/>
    </xf>
    <xf numFmtId="2" fontId="0" fillId="0" borderId="0" xfId="0" applyNumberFormat="1" applyAlignment="1">
      <alignment horizontal="center"/>
    </xf>
    <xf numFmtId="9" fontId="0" fillId="0" borderId="0" xfId="0" applyNumberFormat="1"/>
    <xf numFmtId="0" fontId="2" fillId="0" borderId="2" xfId="0" applyFont="1" applyBorder="1"/>
    <xf numFmtId="0" fontId="2" fillId="0" borderId="8" xfId="0" applyFont="1" applyBorder="1"/>
    <xf numFmtId="0" fontId="2" fillId="0" borderId="3" xfId="0" applyFont="1" applyBorder="1"/>
    <xf numFmtId="0" fontId="2" fillId="0" borderId="23" xfId="0" applyFont="1" applyBorder="1"/>
    <xf numFmtId="0" fontId="2" fillId="0" borderId="24" xfId="0" applyFont="1" applyBorder="1"/>
    <xf numFmtId="0" fontId="2" fillId="0" borderId="32" xfId="0" applyFont="1" applyBorder="1"/>
    <xf numFmtId="0" fontId="2" fillId="0" borderId="33" xfId="0" applyFont="1" applyBorder="1"/>
    <xf numFmtId="0" fontId="2" fillId="0" borderId="34" xfId="0" applyFont="1" applyBorder="1"/>
    <xf numFmtId="0" fontId="0" fillId="0" borderId="20"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0" xfId="0" applyAlignment="1">
      <alignment vertical="center" wrapText="1"/>
    </xf>
    <xf numFmtId="0" fontId="0" fillId="0" borderId="13" xfId="0" applyBorder="1" applyAlignment="1">
      <alignment wrapText="1"/>
    </xf>
    <xf numFmtId="0" fontId="0" fillId="0" borderId="25" xfId="0" applyBorder="1" applyAlignment="1">
      <alignment wrapText="1"/>
    </xf>
    <xf numFmtId="9" fontId="0" fillId="0" borderId="0" xfId="0" applyNumberFormat="1" applyAlignment="1">
      <alignment wrapText="1"/>
    </xf>
    <xf numFmtId="0" fontId="0" fillId="0" borderId="20" xfId="0" applyBorder="1" applyAlignment="1">
      <alignment horizontal="center" vertical="center" wrapText="1"/>
    </xf>
    <xf numFmtId="0" fontId="0" fillId="0" borderId="21" xfId="0" applyBorder="1" applyAlignment="1">
      <alignment horizontal="center" wrapText="1"/>
    </xf>
    <xf numFmtId="0" fontId="0" fillId="0" borderId="21" xfId="0" applyBorder="1" applyAlignment="1">
      <alignment wrapText="1"/>
    </xf>
    <xf numFmtId="0" fontId="0" fillId="0" borderId="21" xfId="0" applyBorder="1" applyAlignment="1">
      <alignment vertical="top" wrapText="1"/>
    </xf>
    <xf numFmtId="0" fontId="0" fillId="0" borderId="25" xfId="0" applyBorder="1" applyAlignment="1">
      <alignment vertical="top" wrapText="1"/>
    </xf>
    <xf numFmtId="0" fontId="0" fillId="0" borderId="20" xfId="0" applyBorder="1" applyAlignment="1">
      <alignment horizontal="center" vertical="top" wrapText="1"/>
    </xf>
    <xf numFmtId="0" fontId="0" fillId="0" borderId="0" xfId="0" applyAlignment="1">
      <alignment vertical="top" wrapText="1"/>
    </xf>
    <xf numFmtId="0" fontId="0" fillId="0" borderId="29" xfId="0" applyBorder="1" applyAlignment="1">
      <alignment horizontal="center" wrapText="1"/>
    </xf>
    <xf numFmtId="0" fontId="0" fillId="0" borderId="27" xfId="0" applyBorder="1" applyAlignment="1">
      <alignment wrapText="1"/>
    </xf>
    <xf numFmtId="0" fontId="0" fillId="0" borderId="31" xfId="0" applyBorder="1" applyAlignment="1">
      <alignment horizontal="center" wrapText="1"/>
    </xf>
    <xf numFmtId="0" fontId="0" fillId="0" borderId="31" xfId="0" applyBorder="1" applyAlignment="1">
      <alignment wrapText="1"/>
    </xf>
    <xf numFmtId="0" fontId="0" fillId="0" borderId="28" xfId="0" applyBorder="1" applyAlignment="1">
      <alignment wrapText="1"/>
    </xf>
    <xf numFmtId="0" fontId="0" fillId="0" borderId="23" xfId="0" applyBorder="1" applyAlignment="1">
      <alignment horizontal="center"/>
    </xf>
    <xf numFmtId="0" fontId="2" fillId="0" borderId="50" xfId="0" applyFont="1" applyBorder="1"/>
    <xf numFmtId="0" fontId="0" fillId="0" borderId="50" xfId="0" applyBorder="1"/>
    <xf numFmtId="0" fontId="0" fillId="0" borderId="24" xfId="0" applyBorder="1"/>
    <xf numFmtId="0" fontId="0" fillId="0" borderId="19" xfId="0" applyBorder="1" applyAlignment="1">
      <alignment vertical="center"/>
    </xf>
    <xf numFmtId="0" fontId="0" fillId="0" borderId="5" xfId="0" applyBorder="1" applyAlignment="1">
      <alignment vertical="center"/>
    </xf>
    <xf numFmtId="0" fontId="0" fillId="0" borderId="19" xfId="0" applyBorder="1"/>
    <xf numFmtId="165" fontId="0" fillId="0" borderId="5" xfId="0" applyNumberFormat="1" applyBorder="1"/>
    <xf numFmtId="165" fontId="0" fillId="0" borderId="9" xfId="0" applyNumberFormat="1" applyBorder="1"/>
    <xf numFmtId="165" fontId="0" fillId="0" borderId="7" xfId="0" applyNumberFormat="1" applyBorder="1"/>
    <xf numFmtId="0" fontId="0" fillId="12" borderId="37" xfId="0" applyFill="1" applyBorder="1" applyAlignment="1" applyProtection="1">
      <alignment vertical="top"/>
      <protection locked="0"/>
    </xf>
    <xf numFmtId="0" fontId="0" fillId="12" borderId="38" xfId="0" applyFill="1" applyBorder="1" applyAlignment="1" applyProtection="1">
      <alignment vertical="top"/>
      <protection locked="0"/>
    </xf>
    <xf numFmtId="0" fontId="0" fillId="12" borderId="39" xfId="0" applyFill="1" applyBorder="1" applyAlignment="1" applyProtection="1">
      <alignment vertical="top"/>
      <protection locked="0"/>
    </xf>
    <xf numFmtId="0" fontId="37" fillId="15" borderId="60" xfId="0" applyFont="1" applyFill="1" applyBorder="1" applyAlignment="1">
      <alignment horizontal="left" vertical="top" wrapText="1"/>
    </xf>
    <xf numFmtId="0" fontId="37" fillId="15" borderId="61" xfId="0" applyFont="1" applyFill="1" applyBorder="1" applyAlignment="1">
      <alignment horizontal="left" vertical="top" wrapText="1"/>
    </xf>
    <xf numFmtId="0" fontId="37" fillId="15" borderId="62" xfId="0" applyFont="1" applyFill="1" applyBorder="1" applyAlignment="1">
      <alignment horizontal="left" vertical="top" wrapText="1"/>
    </xf>
    <xf numFmtId="175" fontId="0" fillId="14" borderId="51" xfId="0" applyNumberFormat="1" applyFill="1" applyBorder="1"/>
    <xf numFmtId="175" fontId="0" fillId="14" borderId="52" xfId="0" applyNumberFormat="1" applyFill="1" applyBorder="1"/>
    <xf numFmtId="175" fontId="0" fillId="14" borderId="53" xfId="0" applyNumberFormat="1" applyFill="1" applyBorder="1"/>
    <xf numFmtId="175" fontId="0" fillId="14" borderId="54" xfId="0" applyNumberFormat="1" applyFill="1" applyBorder="1"/>
    <xf numFmtId="175" fontId="0" fillId="14" borderId="55" xfId="0" applyNumberFormat="1" applyFill="1" applyBorder="1"/>
    <xf numFmtId="175" fontId="0" fillId="14" borderId="56" xfId="0" applyNumberFormat="1" applyFill="1" applyBorder="1"/>
    <xf numFmtId="0" fontId="37" fillId="15" borderId="63" xfId="0" applyFont="1" applyFill="1" applyBorder="1" applyAlignment="1">
      <alignment horizontal="left" vertical="top" wrapText="1"/>
    </xf>
    <xf numFmtId="175" fontId="0" fillId="14" borderId="64" xfId="0" applyNumberFormat="1" applyFill="1" applyBorder="1"/>
    <xf numFmtId="175" fontId="0" fillId="14" borderId="65" xfId="0" applyNumberFormat="1" applyFill="1" applyBorder="1"/>
    <xf numFmtId="0" fontId="5" fillId="14" borderId="0" xfId="0" applyFont="1" applyFill="1" applyAlignment="1">
      <alignment wrapText="1"/>
    </xf>
    <xf numFmtId="0" fontId="37" fillId="15" borderId="60" xfId="0" applyFont="1" applyFill="1" applyBorder="1" applyAlignment="1">
      <alignment horizontal="center" vertical="top" wrapText="1"/>
    </xf>
    <xf numFmtId="0" fontId="37" fillId="15" borderId="61" xfId="0" applyFont="1" applyFill="1" applyBorder="1" applyAlignment="1">
      <alignment horizontal="center" vertical="top" wrapText="1"/>
    </xf>
    <xf numFmtId="0" fontId="37" fillId="15" borderId="62" xfId="0" applyFont="1" applyFill="1" applyBorder="1" applyAlignment="1">
      <alignment horizontal="center" vertical="top" wrapText="1"/>
    </xf>
    <xf numFmtId="0" fontId="38" fillId="15" borderId="60" xfId="0" applyFont="1" applyFill="1" applyBorder="1" applyAlignment="1">
      <alignment horizontal="center" vertical="top" wrapText="1"/>
    </xf>
    <xf numFmtId="0" fontId="38" fillId="15" borderId="61" xfId="0" applyFont="1" applyFill="1" applyBorder="1" applyAlignment="1">
      <alignment horizontal="center" vertical="top" wrapText="1"/>
    </xf>
    <xf numFmtId="0" fontId="38" fillId="15" borderId="62" xfId="0" applyFont="1" applyFill="1" applyBorder="1" applyAlignment="1">
      <alignment horizontal="center" vertical="top" wrapText="1"/>
    </xf>
    <xf numFmtId="173" fontId="0" fillId="14" borderId="51" xfId="12" applyNumberFormat="1" applyFont="1" applyFill="1" applyBorder="1" applyAlignment="1" applyProtection="1">
      <alignment horizontal="center"/>
    </xf>
    <xf numFmtId="173" fontId="0" fillId="14" borderId="52" xfId="12" applyNumberFormat="1" applyFont="1" applyFill="1" applyBorder="1" applyAlignment="1" applyProtection="1">
      <alignment horizontal="center"/>
    </xf>
    <xf numFmtId="173" fontId="0" fillId="14" borderId="53" xfId="12" applyNumberFormat="1" applyFont="1" applyFill="1" applyBorder="1" applyAlignment="1" applyProtection="1">
      <alignment horizontal="center"/>
    </xf>
    <xf numFmtId="173" fontId="0" fillId="14" borderId="54" xfId="12" applyNumberFormat="1" applyFont="1" applyFill="1" applyBorder="1" applyAlignment="1" applyProtection="1">
      <alignment horizontal="center"/>
    </xf>
    <xf numFmtId="173" fontId="0" fillId="14" borderId="55" xfId="12" applyNumberFormat="1" applyFont="1" applyFill="1" applyBorder="1" applyAlignment="1" applyProtection="1">
      <alignment horizontal="center"/>
    </xf>
    <xf numFmtId="173" fontId="0" fillId="14" borderId="56" xfId="12" applyNumberFormat="1" applyFont="1" applyFill="1" applyBorder="1" applyAlignment="1" applyProtection="1">
      <alignment horizontal="center"/>
    </xf>
    <xf numFmtId="173" fontId="0" fillId="14" borderId="57" xfId="12" applyNumberFormat="1" applyFont="1" applyFill="1" applyBorder="1" applyAlignment="1" applyProtection="1">
      <alignment horizontal="center"/>
    </xf>
    <xf numFmtId="173" fontId="0" fillId="14" borderId="58" xfId="12" applyNumberFormat="1" applyFont="1" applyFill="1" applyBorder="1" applyAlignment="1" applyProtection="1">
      <alignment horizontal="center"/>
    </xf>
    <xf numFmtId="173" fontId="0" fillId="14" borderId="59" xfId="12" applyNumberFormat="1" applyFont="1" applyFill="1" applyBorder="1" applyAlignment="1" applyProtection="1">
      <alignment horizontal="center"/>
    </xf>
    <xf numFmtId="172" fontId="0" fillId="14" borderId="51" xfId="12" applyNumberFormat="1" applyFont="1" applyFill="1" applyBorder="1" applyAlignment="1" applyProtection="1">
      <alignment horizontal="center"/>
    </xf>
    <xf numFmtId="172" fontId="0" fillId="14" borderId="52" xfId="12" applyNumberFormat="1" applyFont="1" applyFill="1" applyBorder="1" applyAlignment="1" applyProtection="1">
      <alignment horizontal="center"/>
    </xf>
    <xf numFmtId="172" fontId="0" fillId="14" borderId="53" xfId="12" applyNumberFormat="1" applyFont="1" applyFill="1" applyBorder="1" applyAlignment="1" applyProtection="1">
      <alignment horizontal="center"/>
    </xf>
    <xf numFmtId="172" fontId="0" fillId="14" borderId="54" xfId="12" applyNumberFormat="1" applyFont="1" applyFill="1" applyBorder="1" applyAlignment="1" applyProtection="1">
      <alignment horizontal="center"/>
    </xf>
    <xf numFmtId="172" fontId="0" fillId="14" borderId="55" xfId="12" applyNumberFormat="1" applyFont="1" applyFill="1" applyBorder="1" applyAlignment="1" applyProtection="1">
      <alignment horizontal="center"/>
    </xf>
    <xf numFmtId="172" fontId="0" fillId="14" borderId="56" xfId="12" applyNumberFormat="1" applyFont="1" applyFill="1" applyBorder="1" applyAlignment="1" applyProtection="1">
      <alignment horizontal="center"/>
    </xf>
    <xf numFmtId="172" fontId="0" fillId="14" borderId="57" xfId="12" applyNumberFormat="1" applyFont="1" applyFill="1" applyBorder="1" applyAlignment="1" applyProtection="1">
      <alignment horizontal="center"/>
    </xf>
    <xf numFmtId="172" fontId="0" fillId="14" borderId="58" xfId="12" applyNumberFormat="1" applyFont="1" applyFill="1" applyBorder="1" applyAlignment="1" applyProtection="1">
      <alignment horizontal="center"/>
    </xf>
    <xf numFmtId="172" fontId="0" fillId="14" borderId="59" xfId="12" applyNumberFormat="1" applyFont="1" applyFill="1" applyBorder="1" applyAlignment="1" applyProtection="1">
      <alignment horizontal="center"/>
    </xf>
    <xf numFmtId="0" fontId="0" fillId="14" borderId="40" xfId="0" applyFill="1" applyBorder="1"/>
    <xf numFmtId="0" fontId="2" fillId="14" borderId="35" xfId="0" applyFont="1" applyFill="1" applyBorder="1"/>
    <xf numFmtId="0" fontId="0" fillId="12" borderId="38" xfId="0" applyFill="1" applyBorder="1" applyAlignment="1" applyProtection="1">
      <alignment horizontal="center"/>
      <protection locked="0"/>
    </xf>
    <xf numFmtId="3" fontId="0" fillId="12" borderId="37" xfId="0" applyNumberFormat="1" applyFill="1" applyBorder="1" applyAlignment="1" applyProtection="1">
      <alignment horizontal="center"/>
      <protection locked="0"/>
    </xf>
    <xf numFmtId="9" fontId="0" fillId="12" borderId="38" xfId="0" applyNumberFormat="1" applyFill="1" applyBorder="1" applyAlignment="1" applyProtection="1">
      <alignment horizontal="center"/>
      <protection locked="0"/>
    </xf>
    <xf numFmtId="9" fontId="0" fillId="12" borderId="39" xfId="0" applyNumberFormat="1" applyFill="1" applyBorder="1" applyAlignment="1" applyProtection="1">
      <alignment horizontal="center"/>
      <protection locked="0"/>
    </xf>
    <xf numFmtId="0" fontId="43" fillId="0" borderId="0" xfId="0" applyFont="1"/>
    <xf numFmtId="0" fontId="20" fillId="0" borderId="0" xfId="0" applyFont="1"/>
    <xf numFmtId="0" fontId="0" fillId="14" borderId="11" xfId="0" applyFill="1" applyBorder="1"/>
    <xf numFmtId="0" fontId="0" fillId="12" borderId="11" xfId="0" applyFill="1" applyBorder="1" applyAlignment="1" applyProtection="1">
      <alignment horizontal="center"/>
      <protection locked="0"/>
    </xf>
    <xf numFmtId="0" fontId="37" fillId="15" borderId="1" xfId="0" applyFont="1" applyFill="1" applyBorder="1" applyAlignment="1">
      <alignment horizontal="center" vertical="center" wrapText="1"/>
    </xf>
    <xf numFmtId="0" fontId="37" fillId="15" borderId="1" xfId="0" applyFont="1" applyFill="1" applyBorder="1" applyAlignment="1">
      <alignment horizontal="left" vertical="center" wrapText="1"/>
    </xf>
    <xf numFmtId="0" fontId="0" fillId="2" borderId="1"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1" xfId="0" applyFill="1" applyBorder="1" applyProtection="1">
      <protection locked="0"/>
    </xf>
    <xf numFmtId="9" fontId="16" fillId="2" borderId="1" xfId="20" applyFont="1" applyFill="1" applyBorder="1" applyAlignment="1" applyProtection="1">
      <alignment vertical="center"/>
      <protection locked="0"/>
    </xf>
    <xf numFmtId="9" fontId="16" fillId="2" borderId="1" xfId="20" applyFont="1" applyFill="1" applyBorder="1" applyAlignment="1" applyProtection="1">
      <alignment vertical="center" wrapText="1"/>
      <protection locked="0"/>
    </xf>
    <xf numFmtId="0" fontId="0" fillId="13" borderId="37" xfId="0" applyFill="1" applyBorder="1" applyProtection="1">
      <protection hidden="1"/>
    </xf>
    <xf numFmtId="0" fontId="0" fillId="13" borderId="38" xfId="0" applyFill="1" applyBorder="1" applyProtection="1">
      <protection hidden="1"/>
    </xf>
    <xf numFmtId="0" fontId="0" fillId="13" borderId="39" xfId="0" applyFill="1" applyBorder="1" applyProtection="1">
      <protection hidden="1"/>
    </xf>
    <xf numFmtId="173" fontId="0" fillId="13" borderId="37" xfId="21" applyNumberFormat="1" applyFont="1" applyFill="1" applyBorder="1" applyProtection="1">
      <protection hidden="1"/>
    </xf>
    <xf numFmtId="173" fontId="0" fillId="13" borderId="11" xfId="21" applyNumberFormat="1" applyFont="1" applyFill="1" applyBorder="1" applyProtection="1">
      <protection hidden="1"/>
    </xf>
    <xf numFmtId="174" fontId="0" fillId="13" borderId="51" xfId="21" applyNumberFormat="1" applyFont="1" applyFill="1" applyBorder="1" applyProtection="1">
      <protection hidden="1"/>
    </xf>
    <xf numFmtId="174" fontId="0" fillId="13" borderId="52" xfId="21" applyNumberFormat="1" applyFont="1" applyFill="1" applyBorder="1" applyProtection="1">
      <protection hidden="1"/>
    </xf>
    <xf numFmtId="174" fontId="0" fillId="13" borderId="53" xfId="21" applyNumberFormat="1" applyFont="1" applyFill="1" applyBorder="1" applyProtection="1">
      <protection hidden="1"/>
    </xf>
    <xf numFmtId="174" fontId="0" fillId="13" borderId="51" xfId="0" applyNumberFormat="1" applyFill="1" applyBorder="1" applyProtection="1">
      <protection hidden="1"/>
    </xf>
    <xf numFmtId="173" fontId="0" fillId="13" borderId="38" xfId="21" applyNumberFormat="1" applyFont="1" applyFill="1" applyBorder="1" applyProtection="1">
      <protection hidden="1"/>
    </xf>
    <xf numFmtId="174" fontId="0" fillId="13" borderId="54" xfId="21" applyNumberFormat="1" applyFont="1" applyFill="1" applyBorder="1" applyProtection="1">
      <protection hidden="1"/>
    </xf>
    <xf numFmtId="174" fontId="0" fillId="13" borderId="55" xfId="21" applyNumberFormat="1" applyFont="1" applyFill="1" applyBorder="1" applyProtection="1">
      <protection hidden="1"/>
    </xf>
    <xf numFmtId="174" fontId="0" fillId="13" borderId="56" xfId="21" applyNumberFormat="1" applyFont="1" applyFill="1" applyBorder="1" applyProtection="1">
      <protection hidden="1"/>
    </xf>
    <xf numFmtId="174" fontId="0" fillId="13" borderId="54" xfId="0" applyNumberFormat="1" applyFill="1" applyBorder="1" applyProtection="1">
      <protection hidden="1"/>
    </xf>
    <xf numFmtId="173" fontId="0" fillId="13" borderId="39" xfId="21" applyNumberFormat="1" applyFont="1" applyFill="1" applyBorder="1" applyProtection="1">
      <protection hidden="1"/>
    </xf>
    <xf numFmtId="174" fontId="0" fillId="13" borderId="57" xfId="21" applyNumberFormat="1" applyFont="1" applyFill="1" applyBorder="1" applyProtection="1">
      <protection hidden="1"/>
    </xf>
    <xf numFmtId="174" fontId="0" fillId="13" borderId="58" xfId="21" applyNumberFormat="1" applyFont="1" applyFill="1" applyBorder="1" applyProtection="1">
      <protection hidden="1"/>
    </xf>
    <xf numFmtId="174" fontId="0" fillId="13" borderId="59" xfId="21" applyNumberFormat="1" applyFont="1" applyFill="1" applyBorder="1" applyProtection="1">
      <protection hidden="1"/>
    </xf>
    <xf numFmtId="174" fontId="0" fillId="13" borderId="57" xfId="0" applyNumberFormat="1" applyFill="1" applyBorder="1" applyProtection="1">
      <protection hidden="1"/>
    </xf>
    <xf numFmtId="169" fontId="2" fillId="13" borderId="0" xfId="0" applyNumberFormat="1" applyFont="1" applyFill="1" applyProtection="1">
      <protection hidden="1"/>
    </xf>
    <xf numFmtId="9" fontId="2" fillId="13" borderId="0" xfId="0" applyNumberFormat="1" applyFont="1" applyFill="1" applyAlignment="1" applyProtection="1">
      <alignment horizontal="right" vertical="center"/>
      <protection hidden="1"/>
    </xf>
    <xf numFmtId="167" fontId="2" fillId="13" borderId="0" xfId="0" applyNumberFormat="1" applyFont="1" applyFill="1" applyProtection="1">
      <protection hidden="1"/>
    </xf>
    <xf numFmtId="173" fontId="0" fillId="13" borderId="37" xfId="12" applyNumberFormat="1" applyFont="1" applyFill="1" applyBorder="1" applyAlignment="1" applyProtection="1">
      <alignment horizontal="right"/>
      <protection hidden="1"/>
    </xf>
    <xf numFmtId="174" fontId="0" fillId="13" borderId="37" xfId="0" applyNumberFormat="1" applyFill="1" applyBorder="1" applyAlignment="1" applyProtection="1">
      <alignment horizontal="right"/>
      <protection hidden="1"/>
    </xf>
    <xf numFmtId="173" fontId="0" fillId="13" borderId="38" xfId="12" applyNumberFormat="1" applyFont="1" applyFill="1" applyBorder="1" applyAlignment="1" applyProtection="1">
      <alignment horizontal="right"/>
      <protection hidden="1"/>
    </xf>
    <xf numFmtId="174" fontId="0" fillId="13" borderId="38" xfId="0" applyNumberFormat="1" applyFill="1" applyBorder="1" applyAlignment="1" applyProtection="1">
      <alignment horizontal="right"/>
      <protection hidden="1"/>
    </xf>
    <xf numFmtId="173" fontId="0" fillId="13" borderId="39" xfId="12" applyNumberFormat="1" applyFont="1" applyFill="1" applyBorder="1" applyAlignment="1" applyProtection="1">
      <alignment horizontal="right"/>
      <protection hidden="1"/>
    </xf>
    <xf numFmtId="174" fontId="0" fillId="13" borderId="39" xfId="0" applyNumberFormat="1" applyFill="1" applyBorder="1" applyAlignment="1" applyProtection="1">
      <alignment horizontal="right"/>
      <protection hidden="1"/>
    </xf>
    <xf numFmtId="3" fontId="2" fillId="13" borderId="0" xfId="0" applyNumberFormat="1" applyFont="1" applyFill="1" applyProtection="1">
      <protection hidden="1"/>
    </xf>
    <xf numFmtId="3" fontId="2" fillId="13" borderId="0" xfId="0" applyNumberFormat="1" applyFont="1" applyFill="1" applyAlignment="1" applyProtection="1">
      <alignment vertical="center"/>
      <protection hidden="1"/>
    </xf>
    <xf numFmtId="170" fontId="0" fillId="14" borderId="37" xfId="20" applyNumberFormat="1" applyFont="1" applyFill="1" applyBorder="1" applyAlignment="1" applyProtection="1">
      <alignment horizontal="center"/>
      <protection hidden="1"/>
    </xf>
    <xf numFmtId="3" fontId="0" fillId="14" borderId="45" xfId="12" applyNumberFormat="1" applyFont="1" applyFill="1" applyBorder="1" applyAlignment="1" applyProtection="1">
      <alignment horizontal="center"/>
      <protection hidden="1"/>
    </xf>
    <xf numFmtId="3" fontId="0" fillId="14" borderId="46" xfId="12" applyNumberFormat="1" applyFont="1" applyFill="1" applyBorder="1" applyAlignment="1" applyProtection="1">
      <alignment horizontal="center"/>
      <protection hidden="1"/>
    </xf>
    <xf numFmtId="171" fontId="0" fillId="14" borderId="44" xfId="12" applyNumberFormat="1" applyFont="1" applyFill="1" applyBorder="1" applyAlignment="1" applyProtection="1">
      <alignment horizontal="center"/>
      <protection hidden="1"/>
    </xf>
    <xf numFmtId="171" fontId="0" fillId="14" borderId="45" xfId="12" applyNumberFormat="1" applyFont="1" applyFill="1" applyBorder="1" applyAlignment="1" applyProtection="1">
      <alignment horizontal="center"/>
      <protection hidden="1"/>
    </xf>
    <xf numFmtId="171" fontId="0" fillId="14" borderId="46" xfId="12" applyNumberFormat="1" applyFont="1" applyFill="1" applyBorder="1" applyAlignment="1" applyProtection="1">
      <alignment horizontal="center"/>
      <protection hidden="1"/>
    </xf>
    <xf numFmtId="170" fontId="0" fillId="14" borderId="38" xfId="20" applyNumberFormat="1" applyFont="1" applyFill="1" applyBorder="1" applyAlignment="1" applyProtection="1">
      <alignment horizontal="center"/>
      <protection hidden="1"/>
    </xf>
    <xf numFmtId="171" fontId="0" fillId="14" borderId="40" xfId="12" applyNumberFormat="1" applyFont="1" applyFill="1" applyBorder="1" applyAlignment="1" applyProtection="1">
      <alignment horizontal="center"/>
      <protection hidden="1"/>
    </xf>
    <xf numFmtId="171" fontId="0" fillId="14" borderId="41" xfId="12" applyNumberFormat="1" applyFont="1" applyFill="1" applyBorder="1" applyAlignment="1" applyProtection="1">
      <alignment horizontal="center"/>
      <protection hidden="1"/>
    </xf>
    <xf numFmtId="171" fontId="0" fillId="14" borderId="42" xfId="12" applyNumberFormat="1" applyFont="1" applyFill="1" applyBorder="1" applyAlignment="1" applyProtection="1">
      <alignment horizontal="center"/>
      <protection hidden="1"/>
    </xf>
    <xf numFmtId="170" fontId="0" fillId="14" borderId="39" xfId="20" applyNumberFormat="1" applyFont="1" applyFill="1" applyBorder="1" applyAlignment="1" applyProtection="1">
      <alignment horizontal="center"/>
      <protection hidden="1"/>
    </xf>
    <xf numFmtId="171" fontId="0" fillId="14" borderId="47" xfId="12" applyNumberFormat="1" applyFont="1" applyFill="1" applyBorder="1" applyAlignment="1" applyProtection="1">
      <alignment horizontal="center"/>
      <protection hidden="1"/>
    </xf>
    <xf numFmtId="171" fontId="0" fillId="14" borderId="48" xfId="12" applyNumberFormat="1" applyFont="1" applyFill="1" applyBorder="1" applyAlignment="1" applyProtection="1">
      <alignment horizontal="center"/>
      <protection hidden="1"/>
    </xf>
    <xf numFmtId="171" fontId="0" fillId="14" borderId="49" xfId="12" applyNumberFormat="1" applyFont="1" applyFill="1" applyBorder="1" applyAlignment="1" applyProtection="1">
      <alignment horizontal="center"/>
      <protection hidden="1"/>
    </xf>
    <xf numFmtId="3" fontId="0" fillId="13" borderId="1" xfId="0" applyNumberFormat="1" applyFill="1" applyBorder="1" applyAlignment="1" applyProtection="1">
      <alignment horizontal="center"/>
      <protection hidden="1"/>
    </xf>
    <xf numFmtId="3" fontId="0" fillId="14" borderId="40" xfId="12" applyNumberFormat="1" applyFont="1" applyFill="1" applyBorder="1" applyAlignment="1" applyProtection="1">
      <alignment horizontal="center"/>
      <protection hidden="1"/>
    </xf>
    <xf numFmtId="3" fontId="0" fillId="14" borderId="41" xfId="12" applyNumberFormat="1" applyFont="1" applyFill="1" applyBorder="1" applyAlignment="1" applyProtection="1">
      <alignment horizontal="center"/>
      <protection hidden="1"/>
    </xf>
    <xf numFmtId="3" fontId="0" fillId="14" borderId="42" xfId="12" applyNumberFormat="1" applyFont="1" applyFill="1" applyBorder="1" applyAlignment="1" applyProtection="1">
      <alignment horizontal="center"/>
      <protection hidden="1"/>
    </xf>
    <xf numFmtId="3" fontId="0" fillId="14" borderId="47" xfId="12" applyNumberFormat="1" applyFont="1" applyFill="1" applyBorder="1" applyAlignment="1" applyProtection="1">
      <alignment horizontal="center"/>
      <protection hidden="1"/>
    </xf>
    <xf numFmtId="3" fontId="0" fillId="14" borderId="48" xfId="12" applyNumberFormat="1" applyFont="1" applyFill="1" applyBorder="1" applyAlignment="1" applyProtection="1">
      <alignment horizontal="center"/>
      <protection hidden="1"/>
    </xf>
    <xf numFmtId="3" fontId="0" fillId="14" borderId="49" xfId="12" applyNumberFormat="1" applyFont="1" applyFill="1" applyBorder="1" applyAlignment="1" applyProtection="1">
      <alignment horizontal="center"/>
      <protection hidden="1"/>
    </xf>
    <xf numFmtId="0" fontId="38" fillId="15" borderId="1" xfId="0" applyFont="1" applyFill="1" applyBorder="1" applyAlignment="1">
      <alignment horizontal="center" vertical="top" wrapText="1"/>
    </xf>
    <xf numFmtId="3" fontId="0" fillId="14" borderId="66" xfId="12" applyNumberFormat="1" applyFont="1" applyFill="1" applyBorder="1" applyAlignment="1" applyProtection="1">
      <alignment horizontal="center"/>
      <protection hidden="1"/>
    </xf>
    <xf numFmtId="0" fontId="2" fillId="0" borderId="0" xfId="0" applyFont="1" applyAlignment="1" applyProtection="1">
      <alignment horizontal="center"/>
      <protection hidden="1"/>
    </xf>
    <xf numFmtId="0" fontId="37" fillId="15" borderId="1" xfId="0" applyFont="1" applyFill="1" applyBorder="1" applyAlignment="1" applyProtection="1">
      <alignment horizontal="center" vertical="center" wrapText="1"/>
      <protection hidden="1"/>
    </xf>
    <xf numFmtId="168" fontId="0" fillId="12" borderId="46" xfId="0" applyNumberFormat="1" applyFill="1" applyBorder="1" applyAlignment="1" applyProtection="1">
      <alignment horizontal="center"/>
      <protection locked="0"/>
    </xf>
    <xf numFmtId="168" fontId="0" fillId="12" borderId="42" xfId="0" applyNumberFormat="1" applyFill="1" applyBorder="1" applyAlignment="1" applyProtection="1">
      <alignment horizontal="center"/>
      <protection locked="0"/>
    </xf>
    <xf numFmtId="168" fontId="0" fillId="12" borderId="49" xfId="0" applyNumberFormat="1" applyFill="1" applyBorder="1" applyAlignment="1" applyProtection="1">
      <alignment horizontal="center"/>
      <protection locked="0"/>
    </xf>
    <xf numFmtId="168" fontId="0" fillId="12" borderId="40" xfId="0" applyNumberFormat="1" applyFill="1" applyBorder="1" applyAlignment="1" applyProtection="1">
      <alignment horizontal="center"/>
      <protection locked="0"/>
    </xf>
    <xf numFmtId="168" fontId="0" fillId="12" borderId="47" xfId="0" applyNumberFormat="1" applyFill="1" applyBorder="1" applyAlignment="1" applyProtection="1">
      <alignment horizontal="center"/>
      <protection locked="0"/>
    </xf>
    <xf numFmtId="173" fontId="0" fillId="13" borderId="65" xfId="0" applyNumberFormat="1" applyFill="1" applyBorder="1" applyAlignment="1" applyProtection="1">
      <alignment horizontal="right"/>
      <protection hidden="1"/>
    </xf>
    <xf numFmtId="173" fontId="0" fillId="13" borderId="67" xfId="0" applyNumberFormat="1" applyFill="1" applyBorder="1" applyAlignment="1" applyProtection="1">
      <alignment horizontal="right"/>
      <protection hidden="1"/>
    </xf>
    <xf numFmtId="173" fontId="0" fillId="13" borderId="68" xfId="0" applyNumberFormat="1" applyFill="1" applyBorder="1" applyAlignment="1" applyProtection="1">
      <alignment horizontal="right"/>
      <protection hidden="1"/>
    </xf>
    <xf numFmtId="173" fontId="0" fillId="13" borderId="69" xfId="0" applyNumberFormat="1" applyFill="1" applyBorder="1" applyAlignment="1" applyProtection="1">
      <alignment horizontal="right"/>
      <protection hidden="1"/>
    </xf>
    <xf numFmtId="0" fontId="37" fillId="15" borderId="1" xfId="0" applyFont="1" applyFill="1" applyBorder="1" applyAlignment="1">
      <alignment horizontal="left" vertical="top" wrapText="1"/>
    </xf>
    <xf numFmtId="0" fontId="37" fillId="15" borderId="36" xfId="0" applyFont="1" applyFill="1" applyBorder="1" applyAlignment="1">
      <alignment horizontal="left" vertical="top" wrapText="1"/>
    </xf>
    <xf numFmtId="0" fontId="0" fillId="12" borderId="11" xfId="0" applyFill="1" applyBorder="1" applyProtection="1">
      <protection locked="0"/>
    </xf>
    <xf numFmtId="0" fontId="0" fillId="12" borderId="13" xfId="0" applyFill="1" applyBorder="1" applyProtection="1">
      <protection locked="0"/>
    </xf>
    <xf numFmtId="0" fontId="37" fillId="15" borderId="35" xfId="0" applyFont="1" applyFill="1" applyBorder="1" applyAlignment="1">
      <alignment horizontal="centerContinuous" vertical="center" wrapText="1"/>
    </xf>
    <xf numFmtId="0" fontId="37" fillId="15" borderId="43" xfId="0" applyFont="1" applyFill="1" applyBorder="1" applyAlignment="1">
      <alignment horizontal="centerContinuous" vertical="center" wrapText="1"/>
    </xf>
    <xf numFmtId="0" fontId="37" fillId="15" borderId="36" xfId="0" applyFont="1" applyFill="1" applyBorder="1" applyAlignment="1">
      <alignment horizontal="centerContinuous" vertical="center" wrapText="1"/>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1" fillId="0" borderId="0" xfId="22" applyAlignment="1">
      <alignment horizontal="left"/>
    </xf>
    <xf numFmtId="10" fontId="0" fillId="0" borderId="0" xfId="0" applyNumberFormat="1" applyAlignment="1">
      <alignment horizontal="center"/>
    </xf>
    <xf numFmtId="165" fontId="0" fillId="0" borderId="0" xfId="0" applyNumberFormat="1" applyAlignment="1">
      <alignment horizontal="center"/>
    </xf>
    <xf numFmtId="0" fontId="46" fillId="2" borderId="0" xfId="0" applyFont="1" applyFill="1" applyProtection="1">
      <protection hidden="1"/>
    </xf>
    <xf numFmtId="0" fontId="46" fillId="0" borderId="0" xfId="0" applyFont="1" applyProtection="1">
      <protection hidden="1"/>
    </xf>
    <xf numFmtId="0" fontId="47" fillId="2" borderId="0" xfId="0" applyFont="1" applyFill="1" applyAlignment="1" applyProtection="1">
      <alignment vertical="center"/>
      <protection hidden="1"/>
    </xf>
    <xf numFmtId="0" fontId="46" fillId="2" borderId="1" xfId="0" applyFont="1" applyFill="1" applyBorder="1" applyAlignment="1" applyProtection="1">
      <alignment vertical="top" wrapText="1"/>
      <protection hidden="1"/>
    </xf>
    <xf numFmtId="0" fontId="50" fillId="2" borderId="1" xfId="0" applyFont="1" applyFill="1" applyBorder="1" applyAlignment="1" applyProtection="1">
      <alignment vertical="top" wrapText="1"/>
      <protection hidden="1"/>
    </xf>
    <xf numFmtId="0" fontId="46" fillId="2" borderId="1" xfId="0" applyFont="1" applyFill="1" applyBorder="1" applyAlignment="1" applyProtection="1">
      <alignment horizontal="center" vertical="center"/>
      <protection hidden="1"/>
    </xf>
    <xf numFmtId="0" fontId="52" fillId="2" borderId="1" xfId="0" applyFont="1" applyFill="1" applyBorder="1" applyAlignment="1" applyProtection="1">
      <alignment wrapText="1"/>
      <protection hidden="1"/>
    </xf>
    <xf numFmtId="0" fontId="46" fillId="2" borderId="1" xfId="0" applyFont="1" applyFill="1" applyBorder="1" applyAlignment="1" applyProtection="1">
      <alignment wrapText="1"/>
      <protection hidden="1"/>
    </xf>
    <xf numFmtId="0" fontId="46" fillId="2" borderId="1" xfId="0" applyFont="1" applyFill="1" applyBorder="1" applyProtection="1">
      <protection hidden="1"/>
    </xf>
    <xf numFmtId="0" fontId="46" fillId="2" borderId="0" xfId="0" applyFont="1" applyFill="1" applyAlignment="1" applyProtection="1">
      <alignment horizontal="center" vertical="center"/>
      <protection hidden="1"/>
    </xf>
    <xf numFmtId="0" fontId="50" fillId="2" borderId="1" xfId="0" applyFont="1" applyFill="1" applyBorder="1" applyProtection="1">
      <protection hidden="1"/>
    </xf>
    <xf numFmtId="0" fontId="21" fillId="2" borderId="0" xfId="22" applyFill="1" applyAlignment="1" applyProtection="1">
      <alignment horizontal="left" vertical="center" readingOrder="1"/>
      <protection hidden="1"/>
    </xf>
    <xf numFmtId="0" fontId="57" fillId="2" borderId="0" xfId="0" applyFont="1" applyFill="1" applyProtection="1">
      <protection hidden="1"/>
    </xf>
    <xf numFmtId="0" fontId="52" fillId="2" borderId="1" xfId="0" applyFont="1" applyFill="1" applyBorder="1" applyAlignment="1" applyProtection="1">
      <alignment horizontal="center" vertical="center"/>
      <protection hidden="1"/>
    </xf>
    <xf numFmtId="0" fontId="37" fillId="15" borderId="11" xfId="0" applyFont="1" applyFill="1" applyBorder="1" applyAlignment="1">
      <alignment horizontal="left" vertical="top" wrapText="1"/>
    </xf>
    <xf numFmtId="0" fontId="37" fillId="15" borderId="10" xfId="0" applyFont="1" applyFill="1" applyBorder="1" applyAlignment="1">
      <alignment horizontal="left" vertical="top" wrapText="1"/>
    </xf>
    <xf numFmtId="0" fontId="37" fillId="15" borderId="11" xfId="0" applyFont="1" applyFill="1" applyBorder="1" applyAlignment="1">
      <alignment horizontal="center" vertical="top" wrapText="1"/>
    </xf>
    <xf numFmtId="0" fontId="52" fillId="2" borderId="1" xfId="0" applyFont="1" applyFill="1" applyBorder="1" applyAlignment="1" applyProtection="1">
      <alignment horizontal="center" vertical="center"/>
      <protection hidden="1"/>
    </xf>
    <xf numFmtId="0" fontId="52" fillId="2" borderId="11" xfId="0" applyFont="1" applyFill="1" applyBorder="1" applyAlignment="1" applyProtection="1">
      <alignment horizontal="center" vertical="center"/>
      <protection hidden="1"/>
    </xf>
    <xf numFmtId="0" fontId="52" fillId="2" borderId="12" xfId="0" applyFont="1" applyFill="1" applyBorder="1" applyAlignment="1" applyProtection="1">
      <alignment horizontal="center" vertical="center"/>
      <protection hidden="1"/>
    </xf>
    <xf numFmtId="0" fontId="52" fillId="2" borderId="10" xfId="0" applyFont="1" applyFill="1" applyBorder="1" applyAlignment="1" applyProtection="1">
      <alignment horizontal="center" vertical="center"/>
      <protection hidden="1"/>
    </xf>
    <xf numFmtId="0" fontId="51" fillId="15" borderId="22" xfId="0" applyFont="1" applyFill="1" applyBorder="1" applyAlignment="1" applyProtection="1">
      <alignment horizontal="left" vertical="center" wrapText="1"/>
      <protection hidden="1"/>
    </xf>
    <xf numFmtId="0" fontId="51" fillId="15" borderId="15" xfId="0" applyFont="1" applyFill="1" applyBorder="1" applyAlignment="1" applyProtection="1">
      <alignment horizontal="left" vertical="center" wrapText="1"/>
      <protection hidden="1"/>
    </xf>
    <xf numFmtId="0" fontId="43" fillId="0" borderId="0" xfId="0" applyFont="1" applyAlignment="1">
      <alignment horizontal="center" wrapText="1"/>
    </xf>
    <xf numFmtId="0" fontId="37" fillId="15" borderId="35" xfId="0" applyFont="1" applyFill="1" applyBorder="1" applyAlignment="1">
      <alignment horizontal="left" vertical="top" wrapText="1"/>
    </xf>
    <xf numFmtId="0" fontId="37" fillId="15" borderId="43" xfId="0" applyFont="1" applyFill="1" applyBorder="1" applyAlignment="1">
      <alignment horizontal="left" vertical="top" wrapText="1"/>
    </xf>
    <xf numFmtId="3" fontId="2" fillId="14" borderId="0" xfId="0" applyNumberFormat="1" applyFont="1" applyFill="1" applyAlignment="1">
      <alignment horizontal="center" wrapText="1"/>
    </xf>
    <xf numFmtId="0" fontId="2" fillId="14" borderId="0" xfId="0" applyFont="1" applyFill="1" applyAlignment="1">
      <alignment horizontal="center" vertical="top" wrapText="1"/>
    </xf>
    <xf numFmtId="0" fontId="37" fillId="15" borderId="11" xfId="0" applyFont="1" applyFill="1" applyBorder="1" applyAlignment="1">
      <alignment horizontal="left" vertical="top" wrapText="1"/>
    </xf>
    <xf numFmtId="0" fontId="37" fillId="15" borderId="10" xfId="0" applyFont="1" applyFill="1" applyBorder="1" applyAlignment="1">
      <alignment horizontal="left" vertical="top" wrapText="1"/>
    </xf>
    <xf numFmtId="0" fontId="37" fillId="15" borderId="11" xfId="0" applyFont="1" applyFill="1" applyBorder="1" applyAlignment="1">
      <alignment horizontal="center" vertical="top" wrapText="1"/>
    </xf>
    <xf numFmtId="0" fontId="37" fillId="15" borderId="10" xfId="0" applyFont="1" applyFill="1" applyBorder="1" applyAlignment="1">
      <alignment horizontal="center" vertical="top" wrapText="1"/>
    </xf>
    <xf numFmtId="0" fontId="37" fillId="15" borderId="35" xfId="0" applyFont="1" applyFill="1" applyBorder="1" applyAlignment="1">
      <alignment horizontal="center" vertical="top" wrapText="1"/>
    </xf>
    <xf numFmtId="0" fontId="37" fillId="15" borderId="43" xfId="0" applyFont="1" applyFill="1" applyBorder="1" applyAlignment="1">
      <alignment horizontal="center" vertical="top" wrapText="1"/>
    </xf>
    <xf numFmtId="0" fontId="37" fillId="15" borderId="36" xfId="0" applyFont="1" applyFill="1" applyBorder="1" applyAlignment="1">
      <alignment horizontal="center" vertical="top" wrapText="1"/>
    </xf>
    <xf numFmtId="0" fontId="37" fillId="15" borderId="35" xfId="0" applyFont="1" applyFill="1" applyBorder="1" applyAlignment="1">
      <alignment horizontal="center" vertical="center" wrapText="1"/>
    </xf>
    <xf numFmtId="0" fontId="37" fillId="15" borderId="43" xfId="0" applyFont="1" applyFill="1" applyBorder="1" applyAlignment="1">
      <alignment horizontal="center" vertical="center" wrapText="1"/>
    </xf>
    <xf numFmtId="0" fontId="37" fillId="15" borderId="36" xfId="0" applyFont="1" applyFill="1" applyBorder="1" applyAlignment="1">
      <alignment horizontal="center" vertical="center" wrapText="1"/>
    </xf>
    <xf numFmtId="0" fontId="50" fillId="2" borderId="0" xfId="0" applyFont="1" applyFill="1" applyAlignment="1" applyProtection="1">
      <alignment horizontal="left" vertical="center"/>
      <protection hidden="1"/>
    </xf>
    <xf numFmtId="0" fontId="54" fillId="2" borderId="0" xfId="0" applyFont="1" applyFill="1" applyAlignment="1" applyProtection="1">
      <alignment horizontal="left" vertical="top" wrapText="1"/>
      <protection hidden="1"/>
    </xf>
    <xf numFmtId="0" fontId="21" fillId="2" borderId="0" xfId="22" applyFill="1" applyAlignment="1" applyProtection="1">
      <alignment horizontal="left" vertical="top" wrapText="1"/>
      <protection hidden="1"/>
    </xf>
    <xf numFmtId="0" fontId="55" fillId="2" borderId="0" xfId="0" applyFont="1" applyFill="1" applyAlignment="1" applyProtection="1">
      <alignment horizontal="left" wrapText="1"/>
      <protection hidden="1"/>
    </xf>
    <xf numFmtId="0" fontId="49" fillId="2" borderId="0" xfId="0" applyFont="1" applyFill="1" applyAlignment="1" applyProtection="1">
      <alignment horizontal="left"/>
      <protection hidden="1"/>
    </xf>
    <xf numFmtId="0" fontId="56" fillId="2" borderId="0" xfId="0" applyFont="1" applyFill="1" applyAlignment="1" applyProtection="1">
      <alignment horizontal="left" vertical="top" wrapText="1"/>
      <protection hidden="1"/>
    </xf>
    <xf numFmtId="0" fontId="46" fillId="2" borderId="0" xfId="0" applyFont="1" applyFill="1" applyAlignment="1" applyProtection="1">
      <alignment horizontal="left" wrapText="1"/>
      <protection hidden="1"/>
    </xf>
    <xf numFmtId="0" fontId="21" fillId="2" borderId="0" xfId="22" applyFill="1" applyAlignment="1" applyProtection="1">
      <alignment horizontal="left"/>
      <protection hidden="1"/>
    </xf>
    <xf numFmtId="0" fontId="46" fillId="12" borderId="0" xfId="0" applyFont="1" applyFill="1" applyAlignment="1" applyProtection="1">
      <alignment horizontal="left"/>
      <protection hidden="1"/>
    </xf>
    <xf numFmtId="0" fontId="46" fillId="13" borderId="0" xfId="0" applyFont="1" applyFill="1" applyAlignment="1" applyProtection="1">
      <alignment horizontal="left"/>
      <protection hidden="1"/>
    </xf>
    <xf numFmtId="0" fontId="46" fillId="14" borderId="0" xfId="0" applyFont="1" applyFill="1" applyAlignment="1" applyProtection="1">
      <alignment horizontal="left"/>
      <protection hidden="1"/>
    </xf>
    <xf numFmtId="0" fontId="51" fillId="15" borderId="0" xfId="0" applyFont="1" applyFill="1" applyBorder="1" applyAlignment="1" applyProtection="1">
      <alignment horizontal="left" vertical="center" wrapText="1"/>
      <protection hidden="1"/>
    </xf>
    <xf numFmtId="0" fontId="51" fillId="15" borderId="21" xfId="0" applyFont="1" applyFill="1" applyBorder="1" applyAlignment="1" applyProtection="1">
      <alignment horizontal="left" vertical="center" wrapText="1"/>
      <protection hidden="1"/>
    </xf>
    <xf numFmtId="0" fontId="46" fillId="2" borderId="0" xfId="0" applyFont="1" applyFill="1" applyBorder="1" applyAlignment="1" applyProtection="1">
      <alignment horizontal="left" vertical="top" wrapText="1"/>
      <protection hidden="1"/>
    </xf>
    <xf numFmtId="0" fontId="46" fillId="2" borderId="21" xfId="0" applyFont="1" applyFill="1" applyBorder="1" applyAlignment="1" applyProtection="1">
      <alignment horizontal="left" vertical="top" wrapText="1"/>
      <protection hidden="1"/>
    </xf>
  </cellXfs>
  <cellStyles count="27">
    <cellStyle name="Background" xfId="7" xr:uid="{D9D364EC-207F-49EF-A3D5-01DA0C1E6DB7}"/>
    <cellStyle name="Calculation 2" xfId="13" xr:uid="{8925FE0B-48EB-4663-A4E7-E3052FD8552D}"/>
    <cellStyle name="Calculation3" xfId="4" xr:uid="{3665CC99-3727-4B56-BE84-84C56C1FE183}"/>
    <cellStyle name="Check Cell 2" xfId="11" xr:uid="{54A9592E-DCD0-4359-91B7-B815D83FEAE9}"/>
    <cellStyle name="Comma" xfId="21" builtinId="3"/>
    <cellStyle name="Comma 2" xfId="26" xr:uid="{495E8B12-1441-4B6C-BECA-A8113533B587}"/>
    <cellStyle name="Explanatory Text 2" xfId="8" xr:uid="{192525D8-7F78-4CAC-8B9E-43BB2001BC3C}"/>
    <cellStyle name="Heading 1 2" xfId="6" xr:uid="{C7B9AD26-F70C-4347-854B-0C5A80CD4F65}"/>
    <cellStyle name="Heading 2 2" xfId="9" xr:uid="{388AD4E1-A8C9-4D25-9F78-187110281FC8}"/>
    <cellStyle name="Heading 3 2" xfId="17" xr:uid="{722C2897-6DA4-4C84-88F5-8968DCB5AC03}"/>
    <cellStyle name="Heading 4 2" xfId="18" xr:uid="{B04495E6-2454-491F-837D-D55465ABD166}"/>
    <cellStyle name="Hyperlink" xfId="22" builtinId="8"/>
    <cellStyle name="Hyperlink 2" xfId="19" xr:uid="{D26D6C78-B37C-494E-87BC-8B9EF64ED358}"/>
    <cellStyle name="Hyperlink 2 2" xfId="23" xr:uid="{3AB34AA9-F2C3-4A5D-A7A4-C66F82A2A229}"/>
    <cellStyle name="Input 2" xfId="12" xr:uid="{308C0AF3-BCE4-494B-9C3C-E82184F9F983}"/>
    <cellStyle name="Linked Cell 2" xfId="15" xr:uid="{FF809D82-4463-4B01-8CD8-E0D5034A225C}"/>
    <cellStyle name="Normal" xfId="0" builtinId="0"/>
    <cellStyle name="Normal 2" xfId="1" xr:uid="{00000000-0005-0000-0000-00002F000000}"/>
    <cellStyle name="Normal 2 6" xfId="25" xr:uid="{A1CEDC23-8AF4-4E5E-BAB6-1943060D135D}"/>
    <cellStyle name="Normal 3" xfId="5" xr:uid="{86C90AB2-25A0-4ECC-AB67-F635EFC126A9}"/>
    <cellStyle name="Normal 4 13" xfId="24" xr:uid="{2A5BE033-8B99-4FD3-AAC3-5811B29E3191}"/>
    <cellStyle name="Output 2" xfId="14" xr:uid="{C462BD50-2ECD-44EB-B27E-389C7D5CCB42}"/>
    <cellStyle name="Percent" xfId="20" builtinId="5"/>
    <cellStyle name="Percent 2" xfId="2" xr:uid="{00000000-0005-0000-0000-000030000000}"/>
    <cellStyle name="Ref Data" xfId="3" xr:uid="{0857FE31-F387-4459-9CAD-18C716F72CE3}"/>
    <cellStyle name="Total 2" xfId="10" xr:uid="{E62EB489-651F-4014-A8BF-F888FCE8737D}"/>
    <cellStyle name="Warning Text 2" xfId="16" xr:uid="{0D14B71A-3FBA-4064-9E89-FA5F337230E7}"/>
  </cellStyles>
  <dxfs count="0"/>
  <tableStyles count="0" defaultTableStyle="TableStyleMedium2" defaultPivotStyle="PivotStyleLight16"/>
  <colors>
    <mruColors>
      <color rgb="FF9BC2E6"/>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205740</xdr:colOff>
      <xdr:row>19</xdr:row>
      <xdr:rowOff>17146</xdr:rowOff>
    </xdr:from>
    <xdr:to>
      <xdr:col>3</xdr:col>
      <xdr:colOff>4154806</xdr:colOff>
      <xdr:row>40</xdr:row>
      <xdr:rowOff>123826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05740" y="4474846"/>
          <a:ext cx="8025766" cy="450723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1" i="0" u="sng"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Licence and disclaimer</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1" i="0" u="sng"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This document has been prepared by Energy Systems Catapult Limited (“ESC”) working on behalf of Department for Energy Security and Net Zero ("DESNZ") and Government Property Function (“GPF”).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The document and its contents have been prepared in good faith, based upon the information available to ESC at the time of writing and are made available “as is” without any representations, conditions, warranties or other terms of any kind. The ESC and the authors, together with DESNZ, GPF, their employees, directors, servants or agents exclude to the maximum extent permissible by law all representations, warranties, conditions or other terms whatsoever (whether express or implied) regarding the use of this document or its content including any warranties of title, merchantability, accuracy, completeness, non-infringement or that the document or its contents are of satisfactory or any particular quality or fit for any particular purpose.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Any person accessing this document and using it, or any of its contents, is solely responsible for determining the appropriateness of any reliance put on it and assumes all risks in doing so.</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All content of this document is copyright © 2023 Energy Systems Catapult Limited. The information in this document is the property of the ESC.  You may copy, publish, distribute or otherwise transmit the information PROVIDED THAT you </a:t>
          </a:r>
          <a:r>
            <a:rPr kumimoji="0" lang="en-GB" sz="11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acknowledge</a:t>
          </a:r>
          <a:r>
            <a:rPr kumimoji="0" lang="en-GB" sz="1200" b="0" i="0" u="none" strike="noStrike" kern="1200" cap="none" spc="0" normalizeH="0" baseline="0">
              <a:ln>
                <a:noFill/>
              </a:ln>
              <a:solidFill>
                <a:sysClr val="windowText" lastClr="000000"/>
              </a:solidFill>
              <a:effectLst/>
              <a:uLnTx/>
              <a:uFillTx/>
              <a:latin typeface="Segoe UI" panose="020B0502040204020203" pitchFamily="34" charset="0"/>
              <a:ea typeface="+mn-ea"/>
              <a:cs typeface="Segoe UI" panose="020B0502040204020203" pitchFamily="34" charset="0"/>
            </a:rPr>
            <a:t> that the information contains copyright information of the ESC and include the following acknowledgement “Information taken from Building fabric intervention estimator created by the Energy Systems Catapult Limited”.</a:t>
          </a:r>
        </a:p>
      </xdr:txBody>
    </xdr:sp>
    <xdr:clientData/>
  </xdr:twoCellAnchor>
  <xdr:twoCellAnchor>
    <xdr:from>
      <xdr:col>3</xdr:col>
      <xdr:colOff>333375</xdr:colOff>
      <xdr:row>1</xdr:row>
      <xdr:rowOff>104775</xdr:rowOff>
    </xdr:from>
    <xdr:to>
      <xdr:col>4</xdr:col>
      <xdr:colOff>472645</xdr:colOff>
      <xdr:row>5</xdr:row>
      <xdr:rowOff>89501</xdr:rowOff>
    </xdr:to>
    <xdr:grpSp>
      <xdr:nvGrpSpPr>
        <xdr:cNvPr id="2" name="Group 1">
          <a:extLst>
            <a:ext uri="{FF2B5EF4-FFF2-40B4-BE49-F238E27FC236}">
              <a16:creationId xmlns:a16="http://schemas.microsoft.com/office/drawing/2014/main" id="{4E088C35-950D-050A-3968-7F323DD58BC5}"/>
            </a:ext>
          </a:extLst>
        </xdr:cNvPr>
        <xdr:cNvGrpSpPr/>
      </xdr:nvGrpSpPr>
      <xdr:grpSpPr>
        <a:xfrm>
          <a:off x="4408170" y="312420"/>
          <a:ext cx="4307410" cy="828641"/>
          <a:chOff x="4100627" y="2995295"/>
          <a:chExt cx="4297885" cy="819116"/>
        </a:xfrm>
      </xdr:grpSpPr>
      <xdr:pic>
        <xdr:nvPicPr>
          <xdr:cNvPr id="4" name="Picture 3">
            <a:extLst>
              <a:ext uri="{FF2B5EF4-FFF2-40B4-BE49-F238E27FC236}">
                <a16:creationId xmlns:a16="http://schemas.microsoft.com/office/drawing/2014/main" id="{5146F372-8E2A-B84A-102F-1667C664490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9" name="Picture 8" descr="Graphical user interface, text&#10;&#10;Description automatically generated">
            <a:extLst>
              <a:ext uri="{FF2B5EF4-FFF2-40B4-BE49-F238E27FC236}">
                <a16:creationId xmlns:a16="http://schemas.microsoft.com/office/drawing/2014/main" id="{BE11DF18-611A-13A4-7877-C2675B9940B2}"/>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10" name="Picture 9">
            <a:extLst>
              <a:ext uri="{FF2B5EF4-FFF2-40B4-BE49-F238E27FC236}">
                <a16:creationId xmlns:a16="http://schemas.microsoft.com/office/drawing/2014/main" id="{CC50E0DB-2E2D-2387-4CBE-215D36C446E1}"/>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1</xdr:col>
      <xdr:colOff>53341</xdr:colOff>
      <xdr:row>12</xdr:row>
      <xdr:rowOff>201931</xdr:rowOff>
    </xdr:from>
    <xdr:to>
      <xdr:col>2</xdr:col>
      <xdr:colOff>253366</xdr:colOff>
      <xdr:row>18</xdr:row>
      <xdr:rowOff>96279</xdr:rowOff>
    </xdr:to>
    <xdr:pic>
      <xdr:nvPicPr>
        <xdr:cNvPr id="5" name="Picture 4">
          <a:extLst>
            <a:ext uri="{FF2B5EF4-FFF2-40B4-BE49-F238E27FC236}">
              <a16:creationId xmlns:a16="http://schemas.microsoft.com/office/drawing/2014/main" id="{1E5AC72B-760E-49BC-82E7-D510BDB1AD4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2891" y="3040381"/>
          <a:ext cx="1280160" cy="1300238"/>
        </a:xfrm>
        <a:prstGeom prst="rect">
          <a:avLst/>
        </a:prstGeom>
      </xdr:spPr>
    </xdr:pic>
    <xdr:clientData/>
  </xdr:twoCellAnchor>
  <xdr:twoCellAnchor editAs="oneCell">
    <xdr:from>
      <xdr:col>3</xdr:col>
      <xdr:colOff>2557649</xdr:colOff>
      <xdr:row>6</xdr:row>
      <xdr:rowOff>114247</xdr:rowOff>
    </xdr:from>
    <xdr:to>
      <xdr:col>4</xdr:col>
      <xdr:colOff>383382</xdr:colOff>
      <xdr:row>17</xdr:row>
      <xdr:rowOff>113001</xdr:rowOff>
    </xdr:to>
    <xdr:pic>
      <xdr:nvPicPr>
        <xdr:cNvPr id="6" name="Picture 5">
          <a:extLst>
            <a:ext uri="{FF2B5EF4-FFF2-40B4-BE49-F238E27FC236}">
              <a16:creationId xmlns:a16="http://schemas.microsoft.com/office/drawing/2014/main" id="{7D1177E3-3D49-4B0E-8358-593AE9168716}"/>
            </a:ext>
          </a:extLst>
        </xdr:cNvPr>
        <xdr:cNvPicPr>
          <a:picLocks noChangeAspect="1"/>
        </xdr:cNvPicPr>
      </xdr:nvPicPr>
      <xdr:blipFill rotWithShape="1">
        <a:blip xmlns:r="http://schemas.openxmlformats.org/officeDocument/2006/relationships" r:embed="rId7" cstate="print">
          <a:alphaModFix amt="20000"/>
          <a:extLst>
            <a:ext uri="{28A0092B-C50C-407E-A947-70E740481C1C}">
              <a14:useLocalDpi xmlns:a14="http://schemas.microsoft.com/office/drawing/2010/main" val="0"/>
            </a:ext>
          </a:extLst>
        </a:blip>
        <a:srcRect l="37226" t="33615" r="34809" b="24807"/>
        <a:stretch/>
      </xdr:blipFill>
      <xdr:spPr>
        <a:xfrm>
          <a:off x="6634349" y="1371547"/>
          <a:ext cx="1988158" cy="2780054"/>
        </a:xfrm>
        <a:prstGeom prst="rect">
          <a:avLst/>
        </a:prstGeom>
      </xdr:spPr>
    </xdr:pic>
    <xdr:clientData/>
  </xdr:twoCellAnchor>
  <xdr:twoCellAnchor editAs="oneCell">
    <xdr:from>
      <xdr:col>2</xdr:col>
      <xdr:colOff>2733988</xdr:colOff>
      <xdr:row>6</xdr:row>
      <xdr:rowOff>93345</xdr:rowOff>
    </xdr:from>
    <xdr:to>
      <xdr:col>3</xdr:col>
      <xdr:colOff>1399394</xdr:colOff>
      <xdr:row>17</xdr:row>
      <xdr:rowOff>76200</xdr:rowOff>
    </xdr:to>
    <xdr:pic>
      <xdr:nvPicPr>
        <xdr:cNvPr id="7" name="Picture 6">
          <a:extLst>
            <a:ext uri="{FF2B5EF4-FFF2-40B4-BE49-F238E27FC236}">
              <a16:creationId xmlns:a16="http://schemas.microsoft.com/office/drawing/2014/main" id="{3023516C-ED10-405E-BEF2-20CFD8D13B76}"/>
            </a:ext>
          </a:extLst>
        </xdr:cNvPr>
        <xdr:cNvPicPr>
          <a:picLocks noChangeAspect="1"/>
        </xdr:cNvPicPr>
      </xdr:nvPicPr>
      <xdr:blipFill rotWithShape="1">
        <a:blip xmlns:r="http://schemas.openxmlformats.org/officeDocument/2006/relationships" r:embed="rId8">
          <a:alphaModFix amt="20000"/>
          <a:extLst>
            <a:ext uri="{28A0092B-C50C-407E-A947-70E740481C1C}">
              <a14:useLocalDpi xmlns:a14="http://schemas.microsoft.com/office/drawing/2010/main" val="0"/>
            </a:ext>
          </a:extLst>
        </a:blip>
        <a:srcRect l="16214" r="17362"/>
        <a:stretch/>
      </xdr:blipFill>
      <xdr:spPr>
        <a:xfrm>
          <a:off x="4019863" y="1350645"/>
          <a:ext cx="1458136" cy="2764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3440430</xdr:colOff>
      <xdr:row>1</xdr:row>
      <xdr:rowOff>95250</xdr:rowOff>
    </xdr:from>
    <xdr:to>
      <xdr:col>4</xdr:col>
      <xdr:colOff>472645</xdr:colOff>
      <xdr:row>5</xdr:row>
      <xdr:rowOff>85691</xdr:rowOff>
    </xdr:to>
    <xdr:grpSp>
      <xdr:nvGrpSpPr>
        <xdr:cNvPr id="2" name="Group 1">
          <a:extLst>
            <a:ext uri="{FF2B5EF4-FFF2-40B4-BE49-F238E27FC236}">
              <a16:creationId xmlns:a16="http://schemas.microsoft.com/office/drawing/2014/main" id="{FF04C255-41A2-4586-A3C0-E6CF7F0D73E4}"/>
            </a:ext>
          </a:extLst>
        </xdr:cNvPr>
        <xdr:cNvGrpSpPr/>
      </xdr:nvGrpSpPr>
      <xdr:grpSpPr>
        <a:xfrm>
          <a:off x="4406265" y="300990"/>
          <a:ext cx="4309315" cy="834356"/>
          <a:chOff x="4100627" y="2995295"/>
          <a:chExt cx="4297885" cy="819116"/>
        </a:xfrm>
      </xdr:grpSpPr>
      <xdr:pic>
        <xdr:nvPicPr>
          <xdr:cNvPr id="3" name="Picture 2">
            <a:extLst>
              <a:ext uri="{FF2B5EF4-FFF2-40B4-BE49-F238E27FC236}">
                <a16:creationId xmlns:a16="http://schemas.microsoft.com/office/drawing/2014/main" id="{4DE96725-43BB-1DC2-0D2A-4FD1DD5AB33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8" name="Picture 7" descr="Graphical user interface, text&#10;&#10;Description automatically generated">
            <a:extLst>
              <a:ext uri="{FF2B5EF4-FFF2-40B4-BE49-F238E27FC236}">
                <a16:creationId xmlns:a16="http://schemas.microsoft.com/office/drawing/2014/main" id="{DDDD9DDB-72A8-E454-B78E-D5DB91248C24}"/>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9" name="Picture 8">
            <a:extLst>
              <a:ext uri="{FF2B5EF4-FFF2-40B4-BE49-F238E27FC236}">
                <a16:creationId xmlns:a16="http://schemas.microsoft.com/office/drawing/2014/main" id="{58A29804-C60B-0D52-FBAF-C6841FD1E91E}"/>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1</xdr:col>
      <xdr:colOff>104775</xdr:colOff>
      <xdr:row>7</xdr:row>
      <xdr:rowOff>55246</xdr:rowOff>
    </xdr:from>
    <xdr:to>
      <xdr:col>3</xdr:col>
      <xdr:colOff>645795</xdr:colOff>
      <xdr:row>13</xdr:row>
      <xdr:rowOff>94374</xdr:rowOff>
    </xdr:to>
    <xdr:pic>
      <xdr:nvPicPr>
        <xdr:cNvPr id="4" name="Picture 3">
          <a:extLst>
            <a:ext uri="{FF2B5EF4-FFF2-40B4-BE49-F238E27FC236}">
              <a16:creationId xmlns:a16="http://schemas.microsoft.com/office/drawing/2014/main" id="{5D16097D-18A1-45C0-8ECA-A04D310AB4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3375" y="1522096"/>
          <a:ext cx="1274445" cy="1304048"/>
        </a:xfrm>
        <a:prstGeom prst="rect">
          <a:avLst/>
        </a:prstGeom>
      </xdr:spPr>
    </xdr:pic>
    <xdr:clientData/>
  </xdr:twoCellAnchor>
  <xdr:twoCellAnchor editAs="oneCell">
    <xdr:from>
      <xdr:col>3</xdr:col>
      <xdr:colOff>5636128</xdr:colOff>
      <xdr:row>6</xdr:row>
      <xdr:rowOff>17092</xdr:rowOff>
    </xdr:from>
    <xdr:to>
      <xdr:col>4</xdr:col>
      <xdr:colOff>345281</xdr:colOff>
      <xdr:row>17</xdr:row>
      <xdr:rowOff>181581</xdr:rowOff>
    </xdr:to>
    <xdr:pic>
      <xdr:nvPicPr>
        <xdr:cNvPr id="5" name="Picture 4">
          <a:extLst>
            <a:ext uri="{FF2B5EF4-FFF2-40B4-BE49-F238E27FC236}">
              <a16:creationId xmlns:a16="http://schemas.microsoft.com/office/drawing/2014/main" id="{C14F3DE2-85B7-495D-A252-5BE09EFE7673}"/>
            </a:ext>
          </a:extLst>
        </xdr:cNvPr>
        <xdr:cNvPicPr>
          <a:picLocks noChangeAspect="1"/>
        </xdr:cNvPicPr>
      </xdr:nvPicPr>
      <xdr:blipFill rotWithShape="1">
        <a:blip xmlns:r="http://schemas.openxmlformats.org/officeDocument/2006/relationships" r:embed="rId7" cstate="print">
          <a:alphaModFix amt="20000"/>
          <a:extLst>
            <a:ext uri="{28A0092B-C50C-407E-A947-70E740481C1C}">
              <a14:useLocalDpi xmlns:a14="http://schemas.microsoft.com/office/drawing/2010/main" val="0"/>
            </a:ext>
          </a:extLst>
        </a:blip>
        <a:srcRect l="37226" t="33615" r="34809" b="24807"/>
        <a:stretch/>
      </xdr:blipFill>
      <xdr:spPr>
        <a:xfrm>
          <a:off x="6598153" y="1274392"/>
          <a:ext cx="1986253" cy="2780054"/>
        </a:xfrm>
        <a:prstGeom prst="rect">
          <a:avLst/>
        </a:prstGeom>
      </xdr:spPr>
    </xdr:pic>
    <xdr:clientData/>
  </xdr:twoCellAnchor>
  <xdr:twoCellAnchor editAs="oneCell">
    <xdr:from>
      <xdr:col>3</xdr:col>
      <xdr:colOff>3017832</xdr:colOff>
      <xdr:row>6</xdr:row>
      <xdr:rowOff>0</xdr:rowOff>
    </xdr:from>
    <xdr:to>
      <xdr:col>3</xdr:col>
      <xdr:colOff>4477873</xdr:colOff>
      <xdr:row>17</xdr:row>
      <xdr:rowOff>139065</xdr:rowOff>
    </xdr:to>
    <xdr:pic>
      <xdr:nvPicPr>
        <xdr:cNvPr id="6" name="Picture 5">
          <a:extLst>
            <a:ext uri="{FF2B5EF4-FFF2-40B4-BE49-F238E27FC236}">
              <a16:creationId xmlns:a16="http://schemas.microsoft.com/office/drawing/2014/main" id="{B5FB8AE1-C21C-4FC0-A875-B7B6824BB72D}"/>
            </a:ext>
          </a:extLst>
        </xdr:cNvPr>
        <xdr:cNvPicPr>
          <a:picLocks noChangeAspect="1"/>
        </xdr:cNvPicPr>
      </xdr:nvPicPr>
      <xdr:blipFill rotWithShape="1">
        <a:blip xmlns:r="http://schemas.openxmlformats.org/officeDocument/2006/relationships" r:embed="rId8">
          <a:alphaModFix amt="20000"/>
          <a:extLst>
            <a:ext uri="{28A0092B-C50C-407E-A947-70E740481C1C}">
              <a14:useLocalDpi xmlns:a14="http://schemas.microsoft.com/office/drawing/2010/main" val="0"/>
            </a:ext>
          </a:extLst>
        </a:blip>
        <a:srcRect l="16214" r="17362"/>
        <a:stretch/>
      </xdr:blipFill>
      <xdr:spPr>
        <a:xfrm>
          <a:off x="3979857" y="1257300"/>
          <a:ext cx="1458136" cy="2760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52327</xdr:colOff>
      <xdr:row>79</xdr:row>
      <xdr:rowOff>125748</xdr:rowOff>
    </xdr:from>
    <xdr:to>
      <xdr:col>6</xdr:col>
      <xdr:colOff>45966</xdr:colOff>
      <xdr:row>104</xdr:row>
      <xdr:rowOff>96652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52994" y="14243915"/>
          <a:ext cx="6613724" cy="4457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nt.tuff/AppData/Local/Huddle/Huddle/Files/46e38d2c-7f5a-4e20-bc0d-b5118f54d24e/Simple_Lighting_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an.coulsting/AppData/Local/Huddle/Huddle/Files/c16655f6-857e-494f-a978-23e668703aab/MEP%20Site%20Transport%20Calculator%20V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ho-data-02.stc.ricplc.com\Archive$\Delivery\Projects\IAU\Energy\ED62045%20GLA_KR\3%20Project%20Delivery\7.%20Methodology\Stage%202\Models\BDM_GLA_v6-Correc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EP\Concept%20Design%20Model\Concept%20Design%20Model_v1.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B33/OneDrive%20-%20Ricardo%20Plc/Desktop/RicardoEE_MEP.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rant.tuff/Desktop/New_Build_Dema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User Notes"/>
      <sheetName val="Data Sources and Assumptions"/>
      <sheetName val="Model"/>
      <sheetName val="Saving Hours"/>
      <sheetName val="LED Costs"/>
      <sheetName val="Lighting Power Density"/>
      <sheetName val="Other Costs"/>
      <sheetName val="BEES Data"/>
      <sheetName val="Control Benefit"/>
      <sheetName val="LED Power Calculation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ssumptions "/>
      <sheetName val="Further Work Suggestions"/>
      <sheetName val="Required Outputs"/>
      <sheetName val="Data Sources and Assumptions"/>
      <sheetName val="Inputs Page"/>
      <sheetName val="Outputs Page"/>
      <sheetName val="TE Model Format"/>
      <sheetName val="Calcs Page"/>
      <sheetName val="Field Headings"/>
      <sheetName val="Charging Profiles"/>
      <sheetName val="Vehicle Parc"/>
      <sheetName val="Charger Power"/>
      <sheetName val="Charger CAPEX"/>
      <sheetName val="Charger OPEX"/>
      <sheetName val="MEP Site Transport Calculator V"/>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structions"/>
      <sheetName val="Process flow"/>
      <sheetName val="1a. Dashboard"/>
      <sheetName val="1b. References"/>
      <sheetName val="1c. Domestic energy ref"/>
      <sheetName val="1d. Non dom energy ref"/>
      <sheetName val="2ai. Outputs"/>
      <sheetName val="2bi. Dom Analysis"/>
      <sheetName val="2bii. Non Dom Analysis"/>
      <sheetName val="2ci. Overview"/>
      <sheetName val="2cii. Overview"/>
      <sheetName val="LSOA outputs for DE model"/>
      <sheetName val="3a. Dom Model"/>
      <sheetName val="3b. Non Dom Model"/>
      <sheetName val="4. LSOA inputs"/>
      <sheetName val="5. MSOA inputs"/>
      <sheetName val="6. Tech performance inputs"/>
      <sheetName val="7. Tech applicability inputs"/>
      <sheetName val="8. Energy demand inputs"/>
      <sheetName val="9. Dom cooling inputs"/>
      <sheetName val="10. Non dom input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Site Version"/>
      <sheetName val="Site Summary"/>
      <sheetName val="Site Technologies"/>
      <sheetName val="Building Energy"/>
      <sheetName val="Building CO2e"/>
      <sheetName val="Building Costs"/>
      <sheetName val="Networks"/>
      <sheetName val="Demand Scaling"/>
      <sheetName val="Elec Demand Curves"/>
      <sheetName val="Gas Demand Curves"/>
      <sheetName val="Heat Demand Curves"/>
      <sheetName val="Biomass Demand Curves"/>
      <sheetName val="Elec Demand Curves Future"/>
      <sheetName val="Gas Demand Curves Future"/>
      <sheetName val="Heat Demand Curves Future"/>
      <sheetName val="Biomass Demand Curves Future"/>
      <sheetName val="Hydrogen Demand Curves Future"/>
      <sheetName val="Energy Benchmarks"/>
      <sheetName val="Building Capex Opex"/>
      <sheetName val="Electricity Potential"/>
      <sheetName val="Electricity Breakdown"/>
      <sheetName val="Non Electricity Potential"/>
      <sheetName val="Non Electricity Breakdown"/>
      <sheetName val="Abatement Cost"/>
      <sheetName val="Fuel Costs"/>
      <sheetName val="Stand Alone Technologies"/>
      <sheetName val="Heat Network"/>
      <sheetName val="Electricity Network"/>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Map"/>
      <sheetName val="Guide"/>
      <sheetName val="Model &gt;&gt;"/>
      <sheetName val="DataLog"/>
      <sheetName val="DataSet 01"/>
      <sheetName val="&lt;&lt; Model &gt;&gt;"/>
      <sheetName val="Export"/>
      <sheetName val="Admin &gt;&gt;"/>
      <sheetName val="Queries"/>
      <sheetName val="Uni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User Notes"/>
      <sheetName val="Site Model"/>
      <sheetName val="Annual Demands"/>
      <sheetName val="Lists"/>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Pokuwa Agyeman-Buahin" id="{C1618A74-AEA1-40FB-9C56-6719CAF3BC05}" userId="S-1-5-21-476752893-115108338-1528374722-20702" providerId="AD"/>
  <person displayName="Grant Tuff" id="{AA00664D-B85C-42B7-93C9-AAF0F257694A}" userId="S::Grant.Tuff@es.catapult.org.uk::50c80dd8-475d-4cc9-a628-782e3304ee6b" providerId="AD"/>
  <person displayName="Lewis Bowick" id="{2AB5025A-B89A-45CA-AA44-AAE8ECD01F82}" userId="S::Lewis.Bowick@es.catapult.org.uk::b70757d4-2571-4f17-aaa4-19de163a9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07-05T15:00:33.33" personId="{C1618A74-AEA1-40FB-9C56-6719CAF3BC05}" id="{9E9921A7-23CC-4565-9415-C63DA3F0323A}">
    <text>Assumed that target for retrofit is shy of 2016 building regulations</text>
  </threadedComment>
  <threadedComment ref="E20" dT="2020-04-29T13:39:32.27" personId="{C1618A74-AEA1-40FB-9C56-6719CAF3BC05}" id="{60BA9268-6619-4FF7-8041-74F6DE8F366E}">
    <text>Argon gass double glazed units</text>
  </threadedComment>
  <threadedComment ref="C29" dT="2020-07-16T14:46:13.10" personId="{2AB5025A-B89A-45CA-AA44-AAE8ECD01F82}" id="{F73B1E8E-21EB-46A9-A507-8E55C314711B}">
    <text>Solid walls assumed till 1940, cavity thereafter</text>
  </threadedComment>
  <threadedComment ref="C42" dT="2020-06-04T18:14:42.11" personId="{C1618A74-AEA1-40FB-9C56-6719CAF3BC05}" id="{F4F6D3B6-5C8C-496C-AA51-2EAA52C9390E}">
    <text>Retrofit cost data source: Minitry of Housing, Communities and Local Goverment Energy Performance of Buildings Directive
Second Cost Optimal Assessment for the United Kingdom (excluding Gibraltar)
Table 11.11</text>
  </threadedComment>
  <threadedComment ref="H43" dT="2020-04-29T13:39:32.27" personId="{C1618A74-AEA1-40FB-9C56-6719CAF3BC05}" id="{16E89503-54BC-4AB6-8B26-E67EB3F82070}">
    <text>This figure is the average cost to retrofit timber (£626) and UPVC (£354) windows</text>
  </threadedComment>
  <threadedComment ref="C44" dT="2020-07-28T08:47:44.19" personId="{AA00664D-B85C-42B7-93C9-AAF0F257694A}" id="{CA869327-7B5D-45CC-AD8A-73479DD5E70B}">
    <text>Asssume 50mm solid wall insulation, based on cavity wall costs for cavity fill + solid wall.</text>
  </threadedComment>
  <threadedComment ref="E44" dT="2020-07-28T08:48:28.53" personId="{AA00664D-B85C-42B7-93C9-AAF0F257694A}" id="{B76B25FC-C0A5-4BBD-8A4C-FEF790F73C6C}">
    <text>Interpolate costs at 0.36 and 0.27 W/m2 to get 0.3 (post retrofit value assumed by model)</text>
  </threadedComment>
  <threadedComment ref="B45" dT="2021-03-15T11:18:38.38" personId="{AA00664D-B85C-42B7-93C9-AAF0F257694A}" id="{726CFDE2-9F23-4B81-9681-A341372DAFFE}">
    <text>Assume that:
1) All work is inside the secure area and has a factor of 1.2 applied to account for additional costs.
2) Insulation materials are standard cost.
3) Windows to MOJ spec are 3 times standard cost, components are 60% of total cost and MOJ uplift of 1.2 should be applied.</text>
  </threadedComment>
  <threadedComment ref="B49" dT="2020-07-03T13:46:25.34" personId="{C1618A74-AEA1-40FB-9C56-6719CAF3BC05}" id="{9BB8E9F0-99F5-4526-B74C-20F4574404A0}">
    <text>Data Source reference (6)</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decarbguidance@es.catapult.org.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s.catapult.org.uk/tools-and-labs/public-sector-decarbonisation-guidance-design-and-feasibility" TargetMode="External"/><Relationship Id="rId1" Type="http://schemas.openxmlformats.org/officeDocument/2006/relationships/hyperlink" Target="mailto:psdecarbguidance@es.catapult.org.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s://www.ons.gov.uk/economy/inflationandpriceindices/timeseries/l55o/mm23" TargetMode="Externa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1C77-5237-4006-B4E8-A32629FA7053}">
  <sheetPr codeName="Sheet1">
    <tabColor theme="7"/>
    <pageSetUpPr autoPageBreaks="0"/>
  </sheetPr>
  <dimension ref="A1:E52"/>
  <sheetViews>
    <sheetView workbookViewId="0">
      <selection activeCell="A41" sqref="A41:XFD41"/>
    </sheetView>
  </sheetViews>
  <sheetFormatPr defaultColWidth="0" defaultRowHeight="16.8" zeroHeight="1" x14ac:dyDescent="0.4"/>
  <cols>
    <col min="1" max="1" width="3.109375" style="302" customWidth="1"/>
    <col min="2" max="2" width="15.6640625" style="302" customWidth="1"/>
    <col min="3" max="3" width="40.6640625" style="302" customWidth="1"/>
    <col min="4" max="4" width="60.6640625" style="302" customWidth="1"/>
    <col min="5" max="5" width="8.88671875" style="302" customWidth="1"/>
    <col min="6" max="16384" width="8.88671875" style="302" hidden="1"/>
  </cols>
  <sheetData>
    <row r="1" spans="2:4" x14ac:dyDescent="0.4"/>
    <row r="2" spans="2:4" x14ac:dyDescent="0.4"/>
    <row r="3" spans="2:4" x14ac:dyDescent="0.4"/>
    <row r="4" spans="2:4" x14ac:dyDescent="0.4"/>
    <row r="5" spans="2:4" x14ac:dyDescent="0.4"/>
    <row r="6" spans="2:4" x14ac:dyDescent="0.4"/>
    <row r="7" spans="2:4" x14ac:dyDescent="0.4"/>
    <row r="8" spans="2:4" x14ac:dyDescent="0.4"/>
    <row r="9" spans="2:4" x14ac:dyDescent="0.4"/>
    <row r="10" spans="2:4" x14ac:dyDescent="0.4"/>
    <row r="11" spans="2:4" ht="29.4" x14ac:dyDescent="0.65">
      <c r="B11" s="314" t="s">
        <v>355</v>
      </c>
    </row>
    <row r="12" spans="2:4" ht="29.4" x14ac:dyDescent="0.65">
      <c r="B12" s="314" t="s">
        <v>354</v>
      </c>
    </row>
    <row r="13" spans="2:4" x14ac:dyDescent="0.4">
      <c r="B13" s="340"/>
      <c r="C13" s="340"/>
      <c r="D13" s="340"/>
    </row>
    <row r="14" spans="2:4" ht="28.2" customHeight="1" x14ac:dyDescent="0.4"/>
    <row r="15" spans="2:4" x14ac:dyDescent="0.4"/>
    <row r="16" spans="2:4" x14ac:dyDescent="0.4"/>
    <row r="17" x14ac:dyDescent="0.4"/>
    <row r="18" x14ac:dyDescent="0.4"/>
    <row r="19" x14ac:dyDescent="0.4"/>
    <row r="20" x14ac:dyDescent="0.4"/>
    <row r="21" x14ac:dyDescent="0.4"/>
    <row r="22" x14ac:dyDescent="0.4"/>
    <row r="23" x14ac:dyDescent="0.4"/>
    <row r="24" x14ac:dyDescent="0.4"/>
    <row r="25" x14ac:dyDescent="0.4"/>
    <row r="26" x14ac:dyDescent="0.4"/>
    <row r="27" x14ac:dyDescent="0.4"/>
    <row r="28" x14ac:dyDescent="0.4"/>
    <row r="29" x14ac:dyDescent="0.4"/>
    <row r="30" x14ac:dyDescent="0.4"/>
    <row r="31" x14ac:dyDescent="0.4"/>
    <row r="32" x14ac:dyDescent="0.4"/>
    <row r="33" spans="2:2" x14ac:dyDescent="0.4"/>
    <row r="34" spans="2:2" x14ac:dyDescent="0.4"/>
    <row r="35" spans="2:2" x14ac:dyDescent="0.4"/>
    <row r="36" spans="2:2" x14ac:dyDescent="0.4"/>
    <row r="37" spans="2:2" x14ac:dyDescent="0.4"/>
    <row r="38" spans="2:2" x14ac:dyDescent="0.4"/>
    <row r="39" spans="2:2" x14ac:dyDescent="0.4"/>
    <row r="40" spans="2:2" x14ac:dyDescent="0.4"/>
    <row r="41" spans="2:2" x14ac:dyDescent="0.4"/>
    <row r="42" spans="2:2" x14ac:dyDescent="0.4">
      <c r="B42" s="302" t="s">
        <v>0</v>
      </c>
    </row>
    <row r="43" spans="2:2" x14ac:dyDescent="0.4">
      <c r="B43" s="313" t="s">
        <v>1</v>
      </c>
    </row>
    <row r="44" spans="2:2" x14ac:dyDescent="0.4"/>
    <row r="45" spans="2:2" x14ac:dyDescent="0.4"/>
    <row r="52" x14ac:dyDescent="0.4"/>
  </sheetData>
  <mergeCells count="1">
    <mergeCell ref="B13:D13"/>
  </mergeCells>
  <hyperlinks>
    <hyperlink ref="B43" r:id="rId1" xr:uid="{2F01A0C4-BE4F-49D1-8423-50C80DD7B34E}"/>
  </hyperlinks>
  <pageMargins left="0.7" right="0.7" top="0.75" bottom="0.75" header="0.3" footer="0.3"/>
  <pageSetup paperSize="9" orientation="portrait" r:id="rId2"/>
  <headerFooter>
    <oddFooter>&amp;C© 2021 Energy Systems Catapult Limited&amp;L&amp;1#&amp;"Calibri"&amp;10&amp;K000000 -------------------------------------------------------- This document is marked as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EB-A209-4CE9-8BF2-00AD41BC0274}">
  <sheetPr codeName="Sheet5">
    <tabColor theme="7"/>
    <pageSetUpPr autoPageBreaks="0"/>
  </sheetPr>
  <dimension ref="A1:E75"/>
  <sheetViews>
    <sheetView tabSelected="1" workbookViewId="0">
      <selection activeCell="D4" sqref="D4"/>
    </sheetView>
  </sheetViews>
  <sheetFormatPr defaultColWidth="0" defaultRowHeight="16.8" zeroHeight="1" x14ac:dyDescent="0.4"/>
  <cols>
    <col min="1" max="1" width="3.33203125" style="302" customWidth="1"/>
    <col min="2" max="2" width="8" style="302" customWidth="1"/>
    <col min="3" max="3" width="2.6640625" style="302" bestFit="1" customWidth="1"/>
    <col min="4" max="4" width="106.109375" style="302" customWidth="1"/>
    <col min="5" max="5" width="8.88671875" style="302" customWidth="1"/>
    <col min="6" max="16384" width="8.88671875" style="303" hidden="1"/>
  </cols>
  <sheetData>
    <row r="1" spans="2:2" x14ac:dyDescent="0.4"/>
    <row r="2" spans="2:2" x14ac:dyDescent="0.4"/>
    <row r="3" spans="2:2" x14ac:dyDescent="0.4"/>
    <row r="4" spans="2:2" x14ac:dyDescent="0.4"/>
    <row r="5" spans="2:2" x14ac:dyDescent="0.4"/>
    <row r="6" spans="2:2" x14ac:dyDescent="0.4"/>
    <row r="7" spans="2:2" x14ac:dyDescent="0.4"/>
    <row r="8" spans="2:2" x14ac:dyDescent="0.4"/>
    <row r="9" spans="2:2" x14ac:dyDescent="0.4"/>
    <row r="10" spans="2:2" x14ac:dyDescent="0.4"/>
    <row r="11" spans="2:2" x14ac:dyDescent="0.4"/>
    <row r="12" spans="2:2" x14ac:dyDescent="0.4"/>
    <row r="13" spans="2:2" x14ac:dyDescent="0.4"/>
    <row r="14" spans="2:2" x14ac:dyDescent="0.4"/>
    <row r="15" spans="2:2" s="302" customFormat="1" ht="29.4" x14ac:dyDescent="0.65">
      <c r="B15" s="314" t="s">
        <v>355</v>
      </c>
    </row>
    <row r="16" spans="2:2" s="302" customFormat="1" ht="29.4" x14ac:dyDescent="0.65">
      <c r="B16" s="314" t="s">
        <v>354</v>
      </c>
    </row>
    <row r="17" spans="2:5" x14ac:dyDescent="0.4"/>
    <row r="18" spans="2:5" ht="24.6" x14ac:dyDescent="0.4">
      <c r="B18" s="304" t="s">
        <v>2</v>
      </c>
      <c r="C18" s="304"/>
      <c r="D18" s="304"/>
    </row>
    <row r="19" spans="2:5" x14ac:dyDescent="0.4"/>
    <row r="20" spans="2:5" ht="160.94999999999999" customHeight="1" x14ac:dyDescent="0.4">
      <c r="B20" s="341" t="s">
        <v>3</v>
      </c>
      <c r="C20" s="341"/>
      <c r="D20" s="341"/>
    </row>
    <row r="21" spans="2:5" ht="32.4" customHeight="1" x14ac:dyDescent="0.4">
      <c r="B21" s="342" t="s">
        <v>4</v>
      </c>
      <c r="C21" s="342"/>
      <c r="D21" s="342"/>
    </row>
    <row r="22" spans="2:5" ht="208.95" customHeight="1" x14ac:dyDescent="0.4">
      <c r="B22" s="341" t="s">
        <v>5</v>
      </c>
      <c r="C22" s="341"/>
      <c r="D22" s="341"/>
    </row>
    <row r="23" spans="2:5" x14ac:dyDescent="0.4">
      <c r="B23" s="343" t="s">
        <v>6</v>
      </c>
      <c r="C23" s="343"/>
      <c r="D23" s="343"/>
    </row>
    <row r="24" spans="2:5" x14ac:dyDescent="0.4"/>
    <row r="25" spans="2:5" x14ac:dyDescent="0.4">
      <c r="B25" s="344" t="s">
        <v>7</v>
      </c>
      <c r="C25" s="344"/>
      <c r="D25" s="344"/>
    </row>
    <row r="26" spans="2:5" ht="126.6" customHeight="1" x14ac:dyDescent="0.4">
      <c r="B26" s="345" t="s">
        <v>356</v>
      </c>
      <c r="C26" s="345"/>
      <c r="D26" s="345"/>
    </row>
    <row r="27" spans="2:5" ht="56.4" customHeight="1" x14ac:dyDescent="0.4">
      <c r="B27" s="346" t="s">
        <v>8</v>
      </c>
      <c r="C27" s="346"/>
      <c r="D27" s="346"/>
    </row>
    <row r="28" spans="2:5" ht="35.4" customHeight="1" x14ac:dyDescent="0.4">
      <c r="B28" s="346" t="s">
        <v>9</v>
      </c>
      <c r="C28" s="346"/>
      <c r="D28" s="346"/>
    </row>
    <row r="29" spans="2:5" x14ac:dyDescent="0.4">
      <c r="B29" s="347" t="s">
        <v>1</v>
      </c>
      <c r="C29" s="347"/>
      <c r="D29" s="347"/>
    </row>
    <row r="30" spans="2:5" x14ac:dyDescent="0.4">
      <c r="B30" s="344" t="s">
        <v>10</v>
      </c>
      <c r="C30" s="344"/>
      <c r="D30" s="344"/>
    </row>
    <row r="31" spans="2:5" x14ac:dyDescent="0.4">
      <c r="B31" s="348" t="s">
        <v>11</v>
      </c>
      <c r="C31" s="348"/>
      <c r="D31" s="348"/>
      <c r="E31" s="303"/>
    </row>
    <row r="32" spans="2:5" x14ac:dyDescent="0.4">
      <c r="B32" s="349" t="s">
        <v>12</v>
      </c>
      <c r="C32" s="349"/>
      <c r="D32" s="349"/>
    </row>
    <row r="33" spans="2:4" x14ac:dyDescent="0.4">
      <c r="B33" s="350" t="s">
        <v>13</v>
      </c>
      <c r="C33" s="350"/>
      <c r="D33" s="350"/>
    </row>
    <row r="34" spans="2:4" x14ac:dyDescent="0.4"/>
    <row r="35" spans="2:4" x14ac:dyDescent="0.4">
      <c r="B35" s="351" t="s">
        <v>14</v>
      </c>
      <c r="C35" s="351"/>
      <c r="D35" s="352"/>
    </row>
    <row r="36" spans="2:4" x14ac:dyDescent="0.4">
      <c r="B36" s="353" t="s">
        <v>15</v>
      </c>
      <c r="C36" s="353"/>
      <c r="D36" s="354"/>
    </row>
    <row r="37" spans="2:4" ht="34.200000000000003" customHeight="1" x14ac:dyDescent="0.4">
      <c r="B37" s="353" t="s">
        <v>16</v>
      </c>
      <c r="C37" s="353"/>
      <c r="D37" s="354"/>
    </row>
    <row r="38" spans="2:4" ht="38.4" customHeight="1" x14ac:dyDescent="0.4">
      <c r="B38" s="353" t="s">
        <v>17</v>
      </c>
      <c r="C38" s="353"/>
      <c r="D38" s="354"/>
    </row>
    <row r="39" spans="2:4" x14ac:dyDescent="0.4"/>
    <row r="40" spans="2:4" x14ac:dyDescent="0.4">
      <c r="B40" s="323" t="s">
        <v>18</v>
      </c>
      <c r="C40" s="324"/>
      <c r="D40" s="324"/>
    </row>
    <row r="41" spans="2:4" x14ac:dyDescent="0.4">
      <c r="B41" s="319" t="s">
        <v>19</v>
      </c>
      <c r="C41" s="315"/>
      <c r="D41" s="306" t="s">
        <v>20</v>
      </c>
    </row>
    <row r="42" spans="2:4" ht="67.2" x14ac:dyDescent="0.4">
      <c r="B42" s="319"/>
      <c r="C42" s="307" t="s">
        <v>21</v>
      </c>
      <c r="D42" s="305" t="s">
        <v>357</v>
      </c>
    </row>
    <row r="43" spans="2:4" x14ac:dyDescent="0.4">
      <c r="B43" s="319"/>
      <c r="C43" s="307" t="s">
        <v>22</v>
      </c>
      <c r="D43" s="305" t="s">
        <v>23</v>
      </c>
    </row>
    <row r="44" spans="2:4" ht="33.6" x14ac:dyDescent="0.4">
      <c r="B44" s="319"/>
      <c r="C44" s="307" t="s">
        <v>24</v>
      </c>
      <c r="D44" s="305" t="s">
        <v>25</v>
      </c>
    </row>
    <row r="45" spans="2:4" ht="33.6" x14ac:dyDescent="0.4">
      <c r="B45" s="319"/>
      <c r="C45" s="307" t="s">
        <v>26</v>
      </c>
      <c r="D45" s="305" t="s">
        <v>27</v>
      </c>
    </row>
    <row r="46" spans="2:4" x14ac:dyDescent="0.4">
      <c r="B46" s="319"/>
      <c r="C46" s="307" t="s">
        <v>28</v>
      </c>
      <c r="D46" s="305" t="s">
        <v>29</v>
      </c>
    </row>
    <row r="47" spans="2:4" ht="41.4" customHeight="1" x14ac:dyDescent="0.4">
      <c r="B47" s="319"/>
      <c r="C47" s="307" t="s">
        <v>30</v>
      </c>
      <c r="D47" s="305" t="s">
        <v>31</v>
      </c>
    </row>
    <row r="48" spans="2:4" x14ac:dyDescent="0.4">
      <c r="B48" s="320" t="s">
        <v>32</v>
      </c>
      <c r="C48" s="315"/>
      <c r="D48" s="308" t="s">
        <v>33</v>
      </c>
    </row>
    <row r="49" spans="2:4" x14ac:dyDescent="0.4">
      <c r="B49" s="321"/>
      <c r="C49" s="307" t="s">
        <v>21</v>
      </c>
      <c r="D49" s="309" t="s">
        <v>34</v>
      </c>
    </row>
    <row r="50" spans="2:4" x14ac:dyDescent="0.4">
      <c r="B50" s="321"/>
      <c r="C50" s="307" t="s">
        <v>22</v>
      </c>
      <c r="D50" s="310" t="s">
        <v>35</v>
      </c>
    </row>
    <row r="51" spans="2:4" ht="33.6" x14ac:dyDescent="0.4">
      <c r="B51" s="321"/>
      <c r="C51" s="307" t="s">
        <v>24</v>
      </c>
      <c r="D51" s="309" t="s">
        <v>36</v>
      </c>
    </row>
    <row r="52" spans="2:4" x14ac:dyDescent="0.4">
      <c r="B52" s="321"/>
      <c r="C52" s="307" t="s">
        <v>26</v>
      </c>
      <c r="D52" s="310" t="s">
        <v>37</v>
      </c>
    </row>
    <row r="53" spans="2:4" ht="33.6" x14ac:dyDescent="0.4">
      <c r="B53" s="321"/>
      <c r="C53" s="307" t="s">
        <v>28</v>
      </c>
      <c r="D53" s="309" t="s">
        <v>38</v>
      </c>
    </row>
    <row r="54" spans="2:4" x14ac:dyDescent="0.4">
      <c r="B54" s="321"/>
      <c r="C54" s="307" t="s">
        <v>30</v>
      </c>
      <c r="D54" s="310" t="s">
        <v>39</v>
      </c>
    </row>
    <row r="55" spans="2:4" x14ac:dyDescent="0.4">
      <c r="B55" s="321"/>
      <c r="C55" s="307" t="s">
        <v>40</v>
      </c>
      <c r="D55" s="310" t="s">
        <v>41</v>
      </c>
    </row>
    <row r="56" spans="2:4" x14ac:dyDescent="0.4">
      <c r="B56" s="321"/>
      <c r="C56" s="307" t="s">
        <v>42</v>
      </c>
      <c r="D56" s="310" t="s">
        <v>43</v>
      </c>
    </row>
    <row r="57" spans="2:4" x14ac:dyDescent="0.4">
      <c r="B57" s="321"/>
      <c r="C57" s="307" t="s">
        <v>44</v>
      </c>
      <c r="D57" s="310" t="s">
        <v>45</v>
      </c>
    </row>
    <row r="58" spans="2:4" x14ac:dyDescent="0.4">
      <c r="B58" s="321"/>
      <c r="C58" s="307" t="s">
        <v>46</v>
      </c>
      <c r="D58" s="310" t="s">
        <v>47</v>
      </c>
    </row>
    <row r="59" spans="2:4" x14ac:dyDescent="0.4">
      <c r="B59" s="321"/>
      <c r="C59" s="307" t="s">
        <v>48</v>
      </c>
      <c r="D59" s="309" t="s">
        <v>49</v>
      </c>
    </row>
    <row r="60" spans="2:4" x14ac:dyDescent="0.4">
      <c r="B60" s="321"/>
      <c r="C60" s="307" t="s">
        <v>50</v>
      </c>
      <c r="D60" s="310" t="s">
        <v>51</v>
      </c>
    </row>
    <row r="61" spans="2:4" x14ac:dyDescent="0.4">
      <c r="B61" s="321"/>
      <c r="C61" s="307" t="s">
        <v>52</v>
      </c>
      <c r="D61" s="310" t="s">
        <v>53</v>
      </c>
    </row>
    <row r="62" spans="2:4" x14ac:dyDescent="0.4">
      <c r="B62" s="321"/>
      <c r="C62" s="307" t="s">
        <v>54</v>
      </c>
      <c r="D62" s="310" t="s">
        <v>55</v>
      </c>
    </row>
    <row r="63" spans="2:4" x14ac:dyDescent="0.4">
      <c r="B63" s="321"/>
      <c r="C63" s="307" t="s">
        <v>56</v>
      </c>
      <c r="D63" s="310" t="s">
        <v>57</v>
      </c>
    </row>
    <row r="64" spans="2:4" ht="67.2" x14ac:dyDescent="0.4">
      <c r="B64" s="322"/>
      <c r="C64" s="311" t="s">
        <v>58</v>
      </c>
      <c r="D64" s="309" t="s">
        <v>59</v>
      </c>
    </row>
    <row r="65" spans="2:4" x14ac:dyDescent="0.4">
      <c r="B65" s="320" t="s">
        <v>60</v>
      </c>
      <c r="C65" s="307"/>
      <c r="D65" s="312" t="s">
        <v>61</v>
      </c>
    </row>
    <row r="66" spans="2:4" x14ac:dyDescent="0.4">
      <c r="B66" s="321"/>
      <c r="C66" s="307" t="s">
        <v>21</v>
      </c>
      <c r="D66" s="310" t="s">
        <v>62</v>
      </c>
    </row>
    <row r="67" spans="2:4" ht="33.6" x14ac:dyDescent="0.4">
      <c r="B67" s="321"/>
      <c r="C67" s="307" t="s">
        <v>22</v>
      </c>
      <c r="D67" s="309" t="s">
        <v>63</v>
      </c>
    </row>
    <row r="68" spans="2:4" x14ac:dyDescent="0.4">
      <c r="B68" s="321"/>
      <c r="C68" s="307" t="s">
        <v>24</v>
      </c>
      <c r="D68" s="309" t="s">
        <v>64</v>
      </c>
    </row>
    <row r="69" spans="2:4" x14ac:dyDescent="0.4">
      <c r="B69" s="321"/>
      <c r="C69" s="307" t="s">
        <v>26</v>
      </c>
      <c r="D69" s="310" t="s">
        <v>65</v>
      </c>
    </row>
    <row r="70" spans="2:4" ht="33.6" x14ac:dyDescent="0.4">
      <c r="B70" s="321"/>
      <c r="C70" s="307" t="s">
        <v>28</v>
      </c>
      <c r="D70" s="309" t="s">
        <v>66</v>
      </c>
    </row>
    <row r="71" spans="2:4" x14ac:dyDescent="0.4">
      <c r="B71" s="321"/>
      <c r="C71" s="307" t="s">
        <v>30</v>
      </c>
      <c r="D71" s="310" t="s">
        <v>67</v>
      </c>
    </row>
    <row r="72" spans="2:4" x14ac:dyDescent="0.4">
      <c r="B72" s="321"/>
      <c r="C72" s="307" t="s">
        <v>40</v>
      </c>
      <c r="D72" s="310" t="s">
        <v>68</v>
      </c>
    </row>
    <row r="73" spans="2:4" x14ac:dyDescent="0.4">
      <c r="B73" s="321"/>
      <c r="C73" s="307" t="s">
        <v>42</v>
      </c>
      <c r="D73" s="310" t="s">
        <v>69</v>
      </c>
    </row>
    <row r="74" spans="2:4" ht="33.6" x14ac:dyDescent="0.4">
      <c r="B74" s="322"/>
      <c r="C74" s="307" t="s">
        <v>46</v>
      </c>
      <c r="D74" s="309" t="s">
        <v>70</v>
      </c>
    </row>
    <row r="75" spans="2:4" x14ac:dyDescent="0.4"/>
  </sheetData>
  <mergeCells count="21">
    <mergeCell ref="B33:D33"/>
    <mergeCell ref="B35:D35"/>
    <mergeCell ref="B36:D36"/>
    <mergeCell ref="B37:D37"/>
    <mergeCell ref="B38:D38"/>
    <mergeCell ref="B41:B47"/>
    <mergeCell ref="B65:B74"/>
    <mergeCell ref="B40:D40"/>
    <mergeCell ref="B48:B64"/>
    <mergeCell ref="B20:D20"/>
    <mergeCell ref="B21:D21"/>
    <mergeCell ref="B22:D22"/>
    <mergeCell ref="B23:D23"/>
    <mergeCell ref="B25:D25"/>
    <mergeCell ref="B26:D26"/>
    <mergeCell ref="B27:D27"/>
    <mergeCell ref="B28:D28"/>
    <mergeCell ref="B29:D29"/>
    <mergeCell ref="B30:D30"/>
    <mergeCell ref="B31:D31"/>
    <mergeCell ref="B32:D32"/>
  </mergeCells>
  <phoneticPr fontId="17" type="noConversion"/>
  <hyperlinks>
    <hyperlink ref="B29" r:id="rId1" xr:uid="{9D97D0C6-E91E-48A5-8957-53785CB885E2}"/>
    <hyperlink ref="B21" r:id="rId2" xr:uid="{45B89529-0999-4E8F-9B81-BEEDE475E19D}"/>
  </hyperlinks>
  <pageMargins left="0.7" right="0.7" top="0.75" bottom="0.75" header="0.3" footer="0.3"/>
  <pageSetup paperSize="9" orientation="portrait" r:id="rId3"/>
  <headerFooter>
    <oddFooter>&amp;C© 2021 Energy Systems Catapult Limited&amp;L&amp;1#&amp;"Calibri"&amp;10&amp;K000000 -------------------------------------------------------- This document is marked as confidential</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D5B8-0B27-4D09-A512-395CF5708720}">
  <sheetPr codeName="Sheet2">
    <pageSetUpPr autoPageBreaks="0"/>
  </sheetPr>
  <dimension ref="A1:BC107"/>
  <sheetViews>
    <sheetView workbookViewId="0">
      <selection activeCell="J9" sqref="J9"/>
    </sheetView>
  </sheetViews>
  <sheetFormatPr defaultColWidth="0" defaultRowHeight="14.4" zeroHeight="1" x14ac:dyDescent="0.3"/>
  <cols>
    <col min="1" max="1" width="3.6640625" customWidth="1"/>
    <col min="2" max="2" width="12.33203125" customWidth="1"/>
    <col min="3" max="3" width="30.33203125" customWidth="1"/>
    <col min="4" max="4" width="35.6640625" style="99" customWidth="1"/>
    <col min="5" max="6" width="15.109375" customWidth="1"/>
    <col min="7" max="9" width="10.33203125" customWidth="1"/>
    <col min="10" max="10" width="16.109375" bestFit="1" customWidth="1"/>
    <col min="11" max="13" width="9.88671875" customWidth="1"/>
    <col min="14" max="14" width="31.5546875" style="124" bestFit="1" customWidth="1"/>
    <col min="15" max="15" width="28" style="124" customWidth="1"/>
    <col min="16" max="16" width="10.5546875" style="1" customWidth="1"/>
    <col min="17" max="17" width="18.6640625" style="1" customWidth="1"/>
    <col min="18" max="20" width="13.88671875" customWidth="1"/>
    <col min="21" max="21" width="15.5546875" customWidth="1"/>
    <col min="22" max="22" width="15.33203125" style="1" customWidth="1"/>
    <col min="23" max="24" width="15.33203125" customWidth="1"/>
    <col min="25" max="26" width="5.88671875" hidden="1" customWidth="1"/>
    <col min="27" max="27" width="5.5546875" hidden="1" customWidth="1"/>
    <col min="28" max="28" width="5.88671875" hidden="1" customWidth="1"/>
    <col min="29" max="35" width="5.5546875" hidden="1" customWidth="1"/>
    <col min="36" max="36" width="6.109375" hidden="1" customWidth="1"/>
    <col min="37" max="38" width="10" hidden="1" customWidth="1"/>
    <col min="39" max="39" width="8.44140625" hidden="1" customWidth="1"/>
    <col min="40" max="41" width="8.5546875" hidden="1" customWidth="1"/>
    <col min="42" max="42" width="8.109375" hidden="1" customWidth="1"/>
    <col min="43" max="44" width="9.44140625" hidden="1" customWidth="1"/>
    <col min="45" max="46" width="8.5546875" hidden="1" customWidth="1"/>
    <col min="47" max="47" width="8.44140625" hidden="1" customWidth="1"/>
    <col min="48" max="48" width="9.44140625" hidden="1" customWidth="1"/>
    <col min="49" max="50" width="18.33203125" customWidth="1"/>
    <col min="51" max="51" width="3.109375" customWidth="1"/>
    <col min="52" max="52" width="22.5546875" bestFit="1" customWidth="1"/>
    <col min="53" max="53" width="21.109375" customWidth="1"/>
    <col min="54" max="54" width="20.88671875" customWidth="1"/>
    <col min="55" max="55" width="13.109375" customWidth="1"/>
    <col min="56" max="16384" width="8.88671875" style="112" hidden="1"/>
  </cols>
  <sheetData>
    <row r="1" spans="2:54" x14ac:dyDescent="0.3"/>
    <row r="2" spans="2:54" ht="18" x14ac:dyDescent="0.3">
      <c r="B2" s="100" t="s">
        <v>71</v>
      </c>
    </row>
    <row r="3" spans="2:54" ht="14.4" customHeight="1" x14ac:dyDescent="0.3">
      <c r="D3"/>
    </row>
    <row r="4" spans="2:54" ht="14.4" customHeight="1" x14ac:dyDescent="0.3">
      <c r="B4" s="9" t="s">
        <v>72</v>
      </c>
      <c r="C4" s="316" t="s">
        <v>73</v>
      </c>
      <c r="D4" s="316"/>
    </row>
    <row r="5" spans="2:54" ht="14.4" customHeight="1" x14ac:dyDescent="0.3">
      <c r="C5" s="216" t="s">
        <v>74</v>
      </c>
      <c r="D5" s="217" t="s">
        <v>75</v>
      </c>
      <c r="E5" s="214" t="s">
        <v>76</v>
      </c>
      <c r="F5" s="214"/>
      <c r="G5" s="112"/>
      <c r="H5" s="112"/>
      <c r="I5" s="112"/>
      <c r="J5" s="112"/>
    </row>
    <row r="6" spans="2:54" ht="14.4" customHeight="1" x14ac:dyDescent="0.3">
      <c r="C6" s="105" t="s">
        <v>23</v>
      </c>
      <c r="D6" s="210" t="s">
        <v>77</v>
      </c>
      <c r="G6" s="112"/>
      <c r="H6" s="112"/>
      <c r="I6" s="112"/>
      <c r="J6" s="112"/>
    </row>
    <row r="7" spans="2:54" x14ac:dyDescent="0.3">
      <c r="C7" s="105" t="s">
        <v>78</v>
      </c>
      <c r="D7" s="210" t="s">
        <v>79</v>
      </c>
      <c r="G7" s="112"/>
      <c r="H7" s="112"/>
      <c r="I7" s="112"/>
      <c r="J7" s="112"/>
      <c r="N7" s="99"/>
      <c r="O7" s="99"/>
    </row>
    <row r="8" spans="2:54" ht="14.4" customHeight="1" x14ac:dyDescent="0.3">
      <c r="C8" s="105" t="s">
        <v>80</v>
      </c>
      <c r="D8" s="283">
        <v>0.03</v>
      </c>
      <c r="E8" s="280" t="s">
        <v>81</v>
      </c>
      <c r="F8" s="214" t="s">
        <v>82</v>
      </c>
      <c r="H8" s="112"/>
      <c r="I8" s="112"/>
      <c r="J8" s="112"/>
      <c r="BB8" s="112"/>
    </row>
    <row r="9" spans="2:54" ht="14.4" customHeight="1" x14ac:dyDescent="0.3">
      <c r="C9" s="105" t="s">
        <v>83</v>
      </c>
      <c r="D9" s="283"/>
      <c r="E9" s="281"/>
      <c r="F9" s="214" t="s">
        <v>84</v>
      </c>
      <c r="H9" s="112"/>
      <c r="I9" s="112"/>
      <c r="J9" s="112"/>
      <c r="N9" s="99"/>
      <c r="O9" s="99"/>
    </row>
    <row r="10" spans="2:54" ht="14.4" customHeight="1" x14ac:dyDescent="0.3">
      <c r="C10" s="107" t="s">
        <v>85</v>
      </c>
      <c r="D10" s="284"/>
      <c r="E10" s="282"/>
      <c r="F10" s="214" t="s">
        <v>84</v>
      </c>
      <c r="BA10" s="112"/>
      <c r="BB10" s="112"/>
    </row>
    <row r="11" spans="2:54" ht="14.4" customHeight="1" x14ac:dyDescent="0.3">
      <c r="D11"/>
      <c r="BA11" s="112"/>
      <c r="BB11" s="112"/>
    </row>
    <row r="12" spans="2:54" ht="14.4" customHeight="1" x14ac:dyDescent="0.3">
      <c r="C12" s="326" t="s">
        <v>86</v>
      </c>
      <c r="D12" s="327"/>
      <c r="BA12" s="112"/>
      <c r="BB12" s="328" t="s">
        <v>87</v>
      </c>
    </row>
    <row r="13" spans="2:54" ht="14.4" customHeight="1" x14ac:dyDescent="0.3">
      <c r="C13" s="110" t="s">
        <v>88</v>
      </c>
      <c r="D13" s="211">
        <v>200000</v>
      </c>
      <c r="BA13" s="112"/>
      <c r="BB13" s="328"/>
    </row>
    <row r="14" spans="2:54" ht="14.4" customHeight="1" x14ac:dyDescent="0.3">
      <c r="C14" s="111" t="s">
        <v>89</v>
      </c>
      <c r="D14" s="212">
        <v>0.1</v>
      </c>
      <c r="E14" s="214" t="s">
        <v>90</v>
      </c>
      <c r="F14" s="214"/>
      <c r="BA14" s="112"/>
      <c r="BB14" s="328"/>
    </row>
    <row r="15" spans="2:54" ht="14.4" customHeight="1" x14ac:dyDescent="0.3">
      <c r="C15" s="208" t="s">
        <v>91</v>
      </c>
      <c r="D15" s="212">
        <v>0.8</v>
      </c>
      <c r="BA15" s="112"/>
      <c r="BB15" s="254">
        <f>AW20/(1-(Infiltration_ventilation_losses+Floor_losses))</f>
        <v>173081.83037593984</v>
      </c>
    </row>
    <row r="16" spans="2:54" ht="14.4" customHeight="1" x14ac:dyDescent="0.3">
      <c r="C16" s="111" t="s">
        <v>92</v>
      </c>
      <c r="D16" s="212">
        <v>0.1</v>
      </c>
    </row>
    <row r="17" spans="1:55" ht="14.4" customHeight="1" x14ac:dyDescent="0.3">
      <c r="C17" s="107" t="s">
        <v>93</v>
      </c>
      <c r="D17" s="213">
        <v>0.2</v>
      </c>
      <c r="E17" s="214" t="s">
        <v>90</v>
      </c>
      <c r="F17" s="214"/>
      <c r="AW17" s="328" t="s">
        <v>94</v>
      </c>
      <c r="AX17" s="328" t="s">
        <v>95</v>
      </c>
      <c r="BA17" s="112"/>
      <c r="BB17" s="329" t="s">
        <v>96</v>
      </c>
      <c r="BC17" s="325" t="s">
        <v>97</v>
      </c>
    </row>
    <row r="18" spans="1:55" ht="14.4" customHeight="1" x14ac:dyDescent="0.3">
      <c r="C18" s="209" t="s">
        <v>98</v>
      </c>
      <c r="D18" s="269">
        <f>D13*(1-D14)*D15*(1-D16)*(1-D17)</f>
        <v>103680</v>
      </c>
      <c r="E18" s="214" t="s">
        <v>99</v>
      </c>
      <c r="F18" s="214"/>
      <c r="AW18" s="328"/>
      <c r="AX18" s="328"/>
      <c r="BA18" s="112"/>
      <c r="BB18" s="329"/>
      <c r="BC18" s="325"/>
    </row>
    <row r="19" spans="1:55" ht="14.4" customHeight="1" x14ac:dyDescent="0.3">
      <c r="C19" s="9"/>
      <c r="AW19" s="328"/>
      <c r="AX19" s="328"/>
      <c r="BA19" s="112"/>
      <c r="BB19" s="329"/>
      <c r="BC19" s="325"/>
    </row>
    <row r="20" spans="1:55" ht="18" x14ac:dyDescent="0.35">
      <c r="B20" s="9" t="s">
        <v>100</v>
      </c>
      <c r="C20" s="84"/>
      <c r="D20" s="108"/>
      <c r="AV20" s="112"/>
      <c r="AW20" s="253">
        <f>SUM(AW24:AW107)</f>
        <v>98656.643314285728</v>
      </c>
      <c r="AX20" s="244">
        <f>SUM(AX24:AX107)</f>
        <v>2959.6992994285715</v>
      </c>
      <c r="AZ20" s="215"/>
      <c r="BA20" s="112"/>
      <c r="BB20" s="253">
        <f>SUM(BB24:BB107)</f>
        <v>83000</v>
      </c>
      <c r="BC20" s="325"/>
    </row>
    <row r="21" spans="1:55" s="113" customFormat="1" ht="45.6" customHeight="1" x14ac:dyDescent="0.3">
      <c r="A21" s="102"/>
      <c r="B21" s="330" t="s">
        <v>101</v>
      </c>
      <c r="C21" s="330" t="s">
        <v>102</v>
      </c>
      <c r="D21" s="330" t="s">
        <v>103</v>
      </c>
      <c r="E21" s="330" t="s">
        <v>104</v>
      </c>
      <c r="F21" s="316" t="s">
        <v>105</v>
      </c>
      <c r="G21" s="330" t="s">
        <v>106</v>
      </c>
      <c r="H21" s="330" t="s">
        <v>107</v>
      </c>
      <c r="I21" s="330" t="s">
        <v>108</v>
      </c>
      <c r="J21" s="330" t="s">
        <v>109</v>
      </c>
      <c r="K21" s="330" t="s">
        <v>110</v>
      </c>
      <c r="L21" s="330" t="s">
        <v>111</v>
      </c>
      <c r="M21" s="330" t="s">
        <v>112</v>
      </c>
      <c r="N21" s="330" t="s">
        <v>113</v>
      </c>
      <c r="O21" s="330" t="s">
        <v>114</v>
      </c>
      <c r="P21" s="332" t="s">
        <v>115</v>
      </c>
      <c r="Q21" s="332" t="s">
        <v>116</v>
      </c>
      <c r="R21" s="334" t="s">
        <v>117</v>
      </c>
      <c r="S21" s="335"/>
      <c r="T21" s="335"/>
      <c r="U21" s="336"/>
      <c r="V21" s="334" t="s">
        <v>118</v>
      </c>
      <c r="W21" s="335"/>
      <c r="X21" s="336"/>
      <c r="Y21" s="334" t="s">
        <v>119</v>
      </c>
      <c r="Z21" s="335"/>
      <c r="AA21" s="335"/>
      <c r="AB21" s="335"/>
      <c r="AC21" s="335"/>
      <c r="AD21" s="335"/>
      <c r="AE21" s="335"/>
      <c r="AF21" s="335"/>
      <c r="AG21" s="335"/>
      <c r="AH21" s="335"/>
      <c r="AI21" s="335"/>
      <c r="AJ21" s="336"/>
      <c r="AK21" s="334" t="s">
        <v>120</v>
      </c>
      <c r="AL21" s="335"/>
      <c r="AM21" s="335"/>
      <c r="AN21" s="335"/>
      <c r="AO21" s="335"/>
      <c r="AP21" s="335"/>
      <c r="AQ21" s="335"/>
      <c r="AR21" s="335"/>
      <c r="AS21" s="335"/>
      <c r="AT21" s="335"/>
      <c r="AU21" s="335"/>
      <c r="AV21" s="336"/>
      <c r="AW21" s="316" t="s">
        <v>121</v>
      </c>
      <c r="AX21" s="316" t="s">
        <v>122</v>
      </c>
      <c r="AY21"/>
      <c r="AZ21" s="316" t="s">
        <v>123</v>
      </c>
      <c r="BA21" s="316" t="s">
        <v>124</v>
      </c>
      <c r="BB21" s="316" t="s">
        <v>125</v>
      </c>
      <c r="BC21" s="102"/>
    </row>
    <row r="22" spans="1:55" ht="14.4" customHeight="1" x14ac:dyDescent="0.3">
      <c r="B22" s="331"/>
      <c r="C22" s="331"/>
      <c r="D22" s="331"/>
      <c r="E22" s="331"/>
      <c r="F22" s="317"/>
      <c r="G22" s="331"/>
      <c r="H22" s="331"/>
      <c r="I22" s="331"/>
      <c r="J22" s="331"/>
      <c r="K22" s="331"/>
      <c r="L22" s="331"/>
      <c r="M22" s="331"/>
      <c r="N22" s="331"/>
      <c r="O22" s="331"/>
      <c r="P22" s="333"/>
      <c r="Q22" s="333"/>
      <c r="R22" s="318" t="s">
        <v>126</v>
      </c>
      <c r="S22" s="318" t="s">
        <v>127</v>
      </c>
      <c r="T22" s="318" t="s">
        <v>128</v>
      </c>
      <c r="U22" s="318" t="s">
        <v>129</v>
      </c>
      <c r="V22" s="318" t="s">
        <v>130</v>
      </c>
      <c r="W22" s="318" t="s">
        <v>128</v>
      </c>
      <c r="X22" s="318" t="s">
        <v>129</v>
      </c>
      <c r="Y22" s="184" t="s">
        <v>131</v>
      </c>
      <c r="Z22" s="185" t="s">
        <v>132</v>
      </c>
      <c r="AA22" s="185" t="s">
        <v>133</v>
      </c>
      <c r="AB22" s="185" t="s">
        <v>134</v>
      </c>
      <c r="AC22" s="185" t="s">
        <v>135</v>
      </c>
      <c r="AD22" s="185" t="s">
        <v>136</v>
      </c>
      <c r="AE22" s="185" t="s">
        <v>137</v>
      </c>
      <c r="AF22" s="185" t="s">
        <v>138</v>
      </c>
      <c r="AG22" s="185" t="s">
        <v>139</v>
      </c>
      <c r="AH22" s="185" t="s">
        <v>140</v>
      </c>
      <c r="AI22" s="185" t="s">
        <v>141</v>
      </c>
      <c r="AJ22" s="186" t="s">
        <v>142</v>
      </c>
      <c r="AK22" s="184" t="s">
        <v>131</v>
      </c>
      <c r="AL22" s="185" t="s">
        <v>132</v>
      </c>
      <c r="AM22" s="185" t="s">
        <v>133</v>
      </c>
      <c r="AN22" s="185" t="s">
        <v>134</v>
      </c>
      <c r="AO22" s="185" t="s">
        <v>135</v>
      </c>
      <c r="AP22" s="185" t="s">
        <v>136</v>
      </c>
      <c r="AQ22" s="185" t="s">
        <v>137</v>
      </c>
      <c r="AR22" s="185" t="s">
        <v>138</v>
      </c>
      <c r="AS22" s="185" t="s">
        <v>139</v>
      </c>
      <c r="AT22" s="185" t="s">
        <v>140</v>
      </c>
      <c r="AU22" s="185" t="s">
        <v>141</v>
      </c>
      <c r="AV22" s="186" t="s">
        <v>142</v>
      </c>
      <c r="AW22" s="318"/>
      <c r="AX22" s="318"/>
      <c r="AZ22" s="318"/>
      <c r="BA22" s="318"/>
      <c r="BB22" s="318"/>
    </row>
    <row r="23" spans="1:55" s="114" customFormat="1" ht="14.4" customHeight="1" x14ac:dyDescent="0.3">
      <c r="A23" s="55"/>
      <c r="B23" s="103"/>
      <c r="C23" s="103"/>
      <c r="D23" s="109"/>
      <c r="E23" s="103" t="s">
        <v>143</v>
      </c>
      <c r="F23" s="103" t="s">
        <v>144</v>
      </c>
      <c r="G23" s="103" t="s">
        <v>145</v>
      </c>
      <c r="H23" s="103" t="s">
        <v>146</v>
      </c>
      <c r="I23" s="103" t="s">
        <v>147</v>
      </c>
      <c r="J23" s="103"/>
      <c r="K23" s="103" t="s">
        <v>148</v>
      </c>
      <c r="L23" s="103"/>
      <c r="M23" s="103" t="s">
        <v>52</v>
      </c>
      <c r="N23" s="109"/>
      <c r="O23" s="109"/>
      <c r="P23" s="103" t="s">
        <v>52</v>
      </c>
      <c r="Q23" s="103" t="s">
        <v>149</v>
      </c>
      <c r="R23" s="103" t="s">
        <v>150</v>
      </c>
      <c r="S23" s="103" t="s">
        <v>150</v>
      </c>
      <c r="T23" s="276" t="s">
        <v>150</v>
      </c>
      <c r="U23" s="103" t="s">
        <v>150</v>
      </c>
      <c r="V23" s="103" t="s">
        <v>151</v>
      </c>
      <c r="W23" s="103" t="s">
        <v>151</v>
      </c>
      <c r="X23" s="103" t="s">
        <v>151</v>
      </c>
      <c r="Y23" s="187" t="s">
        <v>152</v>
      </c>
      <c r="Z23" s="188" t="s">
        <v>152</v>
      </c>
      <c r="AA23" s="188" t="s">
        <v>152</v>
      </c>
      <c r="AB23" s="188" t="s">
        <v>152</v>
      </c>
      <c r="AC23" s="188" t="s">
        <v>152</v>
      </c>
      <c r="AD23" s="188" t="s">
        <v>152</v>
      </c>
      <c r="AE23" s="188" t="s">
        <v>152</v>
      </c>
      <c r="AF23" s="188" t="s">
        <v>152</v>
      </c>
      <c r="AG23" s="188" t="s">
        <v>152</v>
      </c>
      <c r="AH23" s="188" t="s">
        <v>152</v>
      </c>
      <c r="AI23" s="188" t="s">
        <v>152</v>
      </c>
      <c r="AJ23" s="189" t="s">
        <v>152</v>
      </c>
      <c r="AK23" s="187" t="s">
        <v>152</v>
      </c>
      <c r="AL23" s="188" t="s">
        <v>152</v>
      </c>
      <c r="AM23" s="188" t="s">
        <v>152</v>
      </c>
      <c r="AN23" s="188" t="s">
        <v>152</v>
      </c>
      <c r="AO23" s="188" t="s">
        <v>152</v>
      </c>
      <c r="AP23" s="188" t="s">
        <v>152</v>
      </c>
      <c r="AQ23" s="188" t="s">
        <v>152</v>
      </c>
      <c r="AR23" s="188" t="s">
        <v>152</v>
      </c>
      <c r="AS23" s="188" t="s">
        <v>152</v>
      </c>
      <c r="AT23" s="188" t="s">
        <v>152</v>
      </c>
      <c r="AU23" s="188" t="s">
        <v>152</v>
      </c>
      <c r="AV23" s="189" t="s">
        <v>152</v>
      </c>
      <c r="AW23" s="103" t="s">
        <v>152</v>
      </c>
      <c r="AX23" s="103" t="s">
        <v>153</v>
      </c>
      <c r="AY23"/>
      <c r="AZ23" s="103"/>
      <c r="BA23" s="103" t="s">
        <v>150</v>
      </c>
      <c r="BB23" s="103" t="s">
        <v>152</v>
      </c>
      <c r="BC23" s="55"/>
    </row>
    <row r="24" spans="1:55" x14ac:dyDescent="0.3">
      <c r="B24" s="106" t="s">
        <v>154</v>
      </c>
      <c r="C24" s="106" t="s">
        <v>77</v>
      </c>
      <c r="D24" s="115" t="s">
        <v>155</v>
      </c>
      <c r="E24" s="116">
        <v>1</v>
      </c>
      <c r="F24" s="116" t="s">
        <v>156</v>
      </c>
      <c r="G24" s="116">
        <v>21</v>
      </c>
      <c r="H24" s="116">
        <v>12</v>
      </c>
      <c r="I24" s="116">
        <v>6</v>
      </c>
      <c r="J24" s="116" t="s">
        <v>157</v>
      </c>
      <c r="K24" s="117">
        <v>1000</v>
      </c>
      <c r="L24" s="116">
        <v>1</v>
      </c>
      <c r="M24" s="118">
        <v>2.4</v>
      </c>
      <c r="N24" s="125" t="s">
        <v>158</v>
      </c>
      <c r="O24" s="126" t="s">
        <v>159</v>
      </c>
      <c r="P24" s="117">
        <v>100</v>
      </c>
      <c r="Q24" s="255">
        <f>VLOOKUP(D24,'Model Assumptions'!$B$15:$D$17,3,FALSE)</f>
        <v>0.3</v>
      </c>
      <c r="R24" s="256">
        <f t="shared" ref="R24" si="0">K24</f>
        <v>1000</v>
      </c>
      <c r="S24" s="256">
        <f t="shared" ref="S24" si="1">P24*M24*L24*(1-Q24)</f>
        <v>168</v>
      </c>
      <c r="T24" s="277">
        <f>_xlfn.IFNA(((P24*(VLOOKUP($N24,'Model Assumptions'!$B$10:$C$12,2,FALSE)))/2)+$K24,0)</f>
        <v>1075</v>
      </c>
      <c r="U24" s="257">
        <f>(S24/(1-Q24))*Q24</f>
        <v>72</v>
      </c>
      <c r="V24" s="258">
        <f>INDEX('Model Assumptions'!$C$30:$F$38,MATCH('Building Breakdown'!$J24,'Model Assumptions'!$B$30:$B$38,0),MATCH('Building Breakdown'!V$22,'Model Assumptions'!$C$29:$F$29,0))</f>
        <v>2</v>
      </c>
      <c r="W24" s="259">
        <f>INDEX('Model Assumptions'!$C$30:$F$38,MATCH('Building Breakdown'!$J24,'Model Assumptions'!$B$30:$B$38,0),MATCH('Building Breakdown'!$N24,'Model Assumptions'!$C$29:$F$29,0))</f>
        <v>2.2999999999999998</v>
      </c>
      <c r="X24" s="260">
        <f>VLOOKUP(O24,'Model Assumptions'!H$30:I$32,2,FALSE)</f>
        <v>4.8</v>
      </c>
      <c r="Y24" s="199">
        <f>(((($S24*$V24)+($T24*$W24)+($U24*$X24))*($G24-(VLOOKUP($D$7,'Model Assumptions'!$B$50:$O$72,2,FALSE))))/1000)*$E24</f>
        <v>52.673469999999995</v>
      </c>
      <c r="Z24" s="200">
        <f>(((($S24*$V24)+($T24*$W24)+($U24*$X24))*($G24-(VLOOKUP($D$7,'Model Assumptions'!$B$50:$O$72,3,FALSE))))/1000)*$E24</f>
        <v>51.096419999999995</v>
      </c>
      <c r="AA24" s="200">
        <f>(((($S24*$V24)+($T24*$W24)+($U24*$X24))*($G24-(VLOOKUP($D$7,'Model Assumptions'!$B$50:$O$72,4,FALSE))))/1000)*$E24</f>
        <v>45.419040000000003</v>
      </c>
      <c r="AB24" s="200">
        <f>(((($S24*$V24)+($T24*$W24)+($U24*$X24))*($G24-(VLOOKUP($D$7,'Model Assumptions'!$B$50:$O$72,5,FALSE))))/1000)*$E24</f>
        <v>37.849199999999996</v>
      </c>
      <c r="AC24" s="200">
        <f>(((($S24*$V24)+($T24*$W24)+($U24*$X24))*($G24-(VLOOKUP($D$7,'Model Assumptions'!$B$50:$O$72,6,FALSE))))/1000)*$E24</f>
        <v>29.017719999999997</v>
      </c>
      <c r="AD24" s="200">
        <f>(((($S24*$V24)+($T24*$W24)+($U24*$X24))*($G24-(VLOOKUP($D$7,'Model Assumptions'!$B$50:$O$72,7,FALSE))))/1000)*$E24</f>
        <v>19.555419999999998</v>
      </c>
      <c r="AE24" s="200">
        <f>(((($S24*$V24)+($T24*$W24)+($U24*$X24))*($G24-(VLOOKUP($D$7,'Model Assumptions'!$B$50:$O$72,8,FALSE))))/1000)*$E24</f>
        <v>13.878039999999995</v>
      </c>
      <c r="AF24" s="200">
        <f>(((($S24*$V24)+($T24*$W24)+($U24*$X24))*($G24-(VLOOKUP($D$7,'Model Assumptions'!$B$50:$O$72,9,FALSE))))/1000)*$E24</f>
        <v>14.193449999999999</v>
      </c>
      <c r="AG24" s="200">
        <f>(((($S24*$V24)+($T24*$W24)+($U24*$X24))*($G24-(VLOOKUP($D$7,'Model Assumptions'!$B$50:$O$72,10,FALSE))))/1000)*$E24</f>
        <v>22.078700000000001</v>
      </c>
      <c r="AH24" s="200">
        <f>(((($S24*$V24)+($T24*$W24)+($U24*$X24))*($G24-(VLOOKUP($D$7,'Model Assumptions'!$B$50:$O$72,11,FALSE))))/1000)*$E24</f>
        <v>33.118049999999997</v>
      </c>
      <c r="AI24" s="200">
        <f>(((($S24*$V24)+($T24*$W24)+($U24*$X24))*($G24-(VLOOKUP($D$7,'Model Assumptions'!$B$50:$O$72,12,FALSE))))/1000)*$E24</f>
        <v>43.841989999999996</v>
      </c>
      <c r="AJ24" s="201">
        <f>(((($S24*$V24)+($T24*$W24)+($U24*$X24))*($G24-(VLOOKUP($D$7,'Model Assumptions'!$B$50:$O$72,13,FALSE))))/1000)*$E24</f>
        <v>52.988879999999995</v>
      </c>
      <c r="AK24" s="190">
        <f>Y24*VLOOKUP("Hours",'Model Assumptions'!$B$50:$O$72,2,FALSE)*$H24*$I24/168</f>
        <v>16795.312148571429</v>
      </c>
      <c r="AL24" s="191">
        <f>Z24*VLOOKUP("Hours",'Model Assumptions'!$B$50:$O$72,3,FALSE)*$H24*$I24/168</f>
        <v>14715.768959999999</v>
      </c>
      <c r="AM24" s="191">
        <f>AA24*VLOOKUP("Hours",'Model Assumptions'!$B$50:$O$72,4,FALSE)*$H24*$I24/168</f>
        <v>14482.185325714285</v>
      </c>
      <c r="AN24" s="191">
        <f>AB24*VLOOKUP("Hours",'Model Assumptions'!$B$50:$O$72,5,FALSE)*$H24*$I24/168</f>
        <v>11679.181714285714</v>
      </c>
      <c r="AO24" s="191">
        <f>AC24*VLOOKUP("Hours",'Model Assumptions'!$B$50:$O$72,6,FALSE)*$H24*$I24/168</f>
        <v>0</v>
      </c>
      <c r="AP24" s="191">
        <f>AD24*VLOOKUP("Hours",'Model Assumptions'!$B$50:$O$72,7,FALSE)*$H24*$I24/168</f>
        <v>0</v>
      </c>
      <c r="AQ24" s="191">
        <f>AE24*VLOOKUP("Hours",'Model Assumptions'!$B$50:$O$72,8,FALSE)*$H24*$I24/168</f>
        <v>0</v>
      </c>
      <c r="AR24" s="191">
        <f>AF24*VLOOKUP("Hours",'Model Assumptions'!$B$50:$O$72,9,FALSE)*$H24*$I24/168</f>
        <v>0</v>
      </c>
      <c r="AS24" s="191">
        <f>AG24*VLOOKUP("Hours",'Model Assumptions'!$B$50:$O$72,10,FALSE)*$H24*$I24/168</f>
        <v>0</v>
      </c>
      <c r="AT24" s="191">
        <f>AH24*VLOOKUP("Hours",'Model Assumptions'!$B$50:$O$72,11,FALSE)*$H24*$I24/168</f>
        <v>10559.926799999999</v>
      </c>
      <c r="AU24" s="191">
        <f>AI24*VLOOKUP("Hours",'Model Assumptions'!$B$50:$O$72,12,FALSE)*$H24*$I24/168</f>
        <v>13528.385485714285</v>
      </c>
      <c r="AV24" s="192">
        <f>AJ24*VLOOKUP("Hours",'Model Assumptions'!$B$50:$O$72,13,FALSE)*$H24*$I24/168</f>
        <v>16895.882879999997</v>
      </c>
      <c r="AW24" s="247">
        <f>SUM(AK24:AV24)</f>
        <v>98656.643314285728</v>
      </c>
      <c r="AX24" s="248">
        <f>AW24*$D$8</f>
        <v>2959.6992994285715</v>
      </c>
      <c r="AZ24" s="104" t="s">
        <v>160</v>
      </c>
      <c r="BA24" s="228">
        <f>K24*L24</f>
        <v>1000</v>
      </c>
      <c r="BB24" s="228">
        <f>_xlfn.IFNA(BA24*INDEX('Bees Non-Electric Breakdown'!$E$20:$AQ$20,1,MATCH('Building Breakdown'!AZ24,'Bees Non-Electric Breakdown'!$E$7:$AQ$7,0)),"")</f>
        <v>83000</v>
      </c>
    </row>
    <row r="25" spans="1:55" x14ac:dyDescent="0.3">
      <c r="B25" s="106"/>
      <c r="C25" s="106"/>
      <c r="D25" s="115"/>
      <c r="E25" s="116"/>
      <c r="F25" s="116"/>
      <c r="G25" s="116"/>
      <c r="H25" s="116"/>
      <c r="I25" s="116"/>
      <c r="J25" s="116"/>
      <c r="K25" s="117"/>
      <c r="L25" s="116"/>
      <c r="M25" s="118"/>
      <c r="N25" s="125"/>
      <c r="O25" s="126"/>
      <c r="P25" s="117"/>
      <c r="Q25" s="261">
        <f>_xlfn.IFNA(VLOOKUP(D25,'Model Assumptions'!$B$15:$D$17,3,FALSE),0)</f>
        <v>0</v>
      </c>
      <c r="R25" s="270">
        <f t="shared" ref="R25" si="2">K25</f>
        <v>0</v>
      </c>
      <c r="S25" s="271">
        <f t="shared" ref="S25" si="3">P25*M25*L25*(1-Q25)</f>
        <v>0</v>
      </c>
      <c r="T25" s="271">
        <f>_xlfn.IFNA(((P25*(VLOOKUP($N25,'Model Assumptions'!$B$10:$C$12,2,FALSE)))/2)+$K25,0)</f>
        <v>0</v>
      </c>
      <c r="U25" s="272">
        <f t="shared" ref="U25" si="4">(S25/(1-Q25))*Q25</f>
        <v>0</v>
      </c>
      <c r="V25" s="262">
        <f>_xlfn.IFNA(INDEX('Model Assumptions'!$C$30:$F$38,MATCH('Building Breakdown'!$J25,'Model Assumptions'!$B$30:$B$38,0),MATCH('Building Breakdown'!V$22,'Model Assumptions'!$C$29:$F$29,0)),0)</f>
        <v>0</v>
      </c>
      <c r="W25" s="263">
        <f>_xlfn.IFNA(INDEX('Model Assumptions'!$C$30:$F$38,MATCH('Building Breakdown'!$J25,'Model Assumptions'!$B$30:$B$38,0),MATCH('Building Breakdown'!$N25,'Model Assumptions'!$C$29:$F$29,0)),0)</f>
        <v>0</v>
      </c>
      <c r="X25" s="264">
        <f>_xlfn.IFNA(VLOOKUP(O25,'Model Assumptions'!H$30:I$32,2,FALSE),0)</f>
        <v>0</v>
      </c>
      <c r="Y25" s="202">
        <f>(((($S25*$V25)+($T25*$W25)+($U25*$X25))*($G25-(VLOOKUP($D$7,'Model Assumptions'!$B$50:$O$72,2,FALSE))))/1000)*$E25</f>
        <v>0</v>
      </c>
      <c r="Z25" s="203">
        <f>(((($S25*$V25)+($T25*$W25)+($U25*$X25))*($G25-(VLOOKUP($D$7,'Model Assumptions'!$B$50:$O$72,3,FALSE))))/1000)*$E25</f>
        <v>0</v>
      </c>
      <c r="AA25" s="203">
        <f>(((($S25*$V25)+($T25*$W25)+($U25*$X25))*($G25-(VLOOKUP($D$7,'Model Assumptions'!$B$50:$O$72,4,FALSE))))/1000)*$E25</f>
        <v>0</v>
      </c>
      <c r="AB25" s="203">
        <f>(((($S25*$V25)+($T25*$W25)+($U25*$X25))*($G25-(VLOOKUP($D$7,'Model Assumptions'!$B$50:$O$72,5,FALSE))))/1000)*$E25</f>
        <v>0</v>
      </c>
      <c r="AC25" s="203">
        <f>(((($S25*$V25)+($T25*$W25)+($U25*$X25))*($G25-(VLOOKUP($D$7,'Model Assumptions'!$B$50:$O$72,6,FALSE))))/1000)*$E25</f>
        <v>0</v>
      </c>
      <c r="AD25" s="203">
        <f>(((($S25*$V25)+($T25*$W25)+($U25*$X25))*($G25-(VLOOKUP($D$7,'Model Assumptions'!$B$50:$O$72,7,FALSE))))/1000)*$E25</f>
        <v>0</v>
      </c>
      <c r="AE25" s="203">
        <f>(((($S25*$V25)+($T25*$W25)+($U25*$X25))*($G25-(VLOOKUP($D$7,'Model Assumptions'!$B$50:$O$72,8,FALSE))))/1000)*$E25</f>
        <v>0</v>
      </c>
      <c r="AF25" s="203">
        <f>(((($S25*$V25)+($T25*$W25)+($U25*$X25))*($G25-(VLOOKUP($D$7,'Model Assumptions'!$B$50:$O$72,9,FALSE))))/1000)*$E25</f>
        <v>0</v>
      </c>
      <c r="AG25" s="203">
        <f>(((($S25*$V25)+($T25*$W25)+($U25*$X25))*($G25-(VLOOKUP($D$7,'Model Assumptions'!$B$50:$O$72,10,FALSE))))/1000)*$E25</f>
        <v>0</v>
      </c>
      <c r="AH25" s="203">
        <f>(((($S25*$V25)+($T25*$W25)+($U25*$X25))*($G25-(VLOOKUP($D$7,'Model Assumptions'!$B$50:$O$72,11,FALSE))))/1000)*$E25</f>
        <v>0</v>
      </c>
      <c r="AI25" s="203">
        <f>(((($S25*$V25)+($T25*$W25)+($U25*$X25))*($G25-(VLOOKUP($D$7,'Model Assumptions'!$B$50:$O$72,12,FALSE))))/1000)*$E25</f>
        <v>0</v>
      </c>
      <c r="AJ25" s="204">
        <f>(((($S25*$V25)+($T25*$W25)+($U25*$X25))*($G25-(VLOOKUP($D$7,'Model Assumptions'!$B$50:$O$72,13,FALSE))))/1000)*$E25</f>
        <v>0</v>
      </c>
      <c r="AK25" s="193">
        <f>Y25*VLOOKUP("Hours",'Model Assumptions'!$B$50:$O$72,2,FALSE)*$H25*$I25/168</f>
        <v>0</v>
      </c>
      <c r="AL25" s="194">
        <f>Z25*VLOOKUP("Hours",'Model Assumptions'!$B$50:$O$72,3,FALSE)*$H25*$I25/168</f>
        <v>0</v>
      </c>
      <c r="AM25" s="194">
        <f>AA25*VLOOKUP("Hours",'Model Assumptions'!$B$50:$O$72,4,FALSE)*$H25*$I25/168</f>
        <v>0</v>
      </c>
      <c r="AN25" s="194">
        <f>AB25*VLOOKUP("Hours",'Model Assumptions'!$B$50:$O$72,5,FALSE)*$H25*$I25/168</f>
        <v>0</v>
      </c>
      <c r="AO25" s="194">
        <f>AC25*VLOOKUP("Hours",'Model Assumptions'!$B$50:$O$72,6,FALSE)*$H25*$I25/168</f>
        <v>0</v>
      </c>
      <c r="AP25" s="194">
        <f>AD25*VLOOKUP("Hours",'Model Assumptions'!$B$50:$O$72,7,FALSE)*$H25*$I25/168</f>
        <v>0</v>
      </c>
      <c r="AQ25" s="194">
        <f>AE25*VLOOKUP("Hours",'Model Assumptions'!$B$50:$O$72,8,FALSE)*$H25*$I25/168</f>
        <v>0</v>
      </c>
      <c r="AR25" s="194">
        <f>AF25*VLOOKUP("Hours",'Model Assumptions'!$B$50:$O$72,9,FALSE)*$H25*$I25/168</f>
        <v>0</v>
      </c>
      <c r="AS25" s="194">
        <f>AG25*VLOOKUP("Hours",'Model Assumptions'!$B$50:$O$72,10,FALSE)*$H25*$I25/168</f>
        <v>0</v>
      </c>
      <c r="AT25" s="194">
        <f>AH25*VLOOKUP("Hours",'Model Assumptions'!$B$50:$O$72,11,FALSE)*$H25*$I25/168</f>
        <v>0</v>
      </c>
      <c r="AU25" s="194">
        <f>AI25*VLOOKUP("Hours",'Model Assumptions'!$B$50:$O$72,12,FALSE)*$H25*$I25/168</f>
        <v>0</v>
      </c>
      <c r="AV25" s="195">
        <f>AJ25*VLOOKUP("Hours",'Model Assumptions'!$B$50:$O$72,13,FALSE)*$H25*$I25/168</f>
        <v>0</v>
      </c>
      <c r="AW25" s="249">
        <f t="shared" ref="AW25:AW76" si="5">SUM(AK25:AV25)</f>
        <v>0</v>
      </c>
      <c r="AX25" s="250">
        <f t="shared" ref="AX25:AX55" si="6">AW25*$D$8</f>
        <v>0</v>
      </c>
      <c r="AZ25" s="106"/>
      <c r="BA25" s="234">
        <f t="shared" ref="BA25:BA76" si="7">K25*L25</f>
        <v>0</v>
      </c>
      <c r="BB25" s="234" t="str">
        <f>_xlfn.IFNA(BA25*INDEX('Bees Non-Electric Breakdown'!$E$20:$AQ$20,1,MATCH('Building Breakdown'!AZ25,'Bees Non-Electric Breakdown'!$E$7:$AQ$7,0)),"")</f>
        <v/>
      </c>
    </row>
    <row r="26" spans="1:55" x14ac:dyDescent="0.3">
      <c r="B26" s="106"/>
      <c r="C26" s="106"/>
      <c r="D26" s="115"/>
      <c r="E26" s="116"/>
      <c r="F26" s="116"/>
      <c r="G26" s="116"/>
      <c r="H26" s="116"/>
      <c r="I26" s="116"/>
      <c r="J26" s="116"/>
      <c r="K26" s="117"/>
      <c r="L26" s="116"/>
      <c r="M26" s="118"/>
      <c r="N26" s="125"/>
      <c r="O26" s="126"/>
      <c r="P26" s="117"/>
      <c r="Q26" s="261">
        <f>_xlfn.IFNA(VLOOKUP(D26,'Model Assumptions'!$B$15:$D$17,3,FALSE),0)</f>
        <v>0</v>
      </c>
      <c r="R26" s="270">
        <f t="shared" ref="R26:R76" si="8">K26</f>
        <v>0</v>
      </c>
      <c r="S26" s="271">
        <f t="shared" ref="S26:S76" si="9">P26*M26*L26*(1-Q26)</f>
        <v>0</v>
      </c>
      <c r="T26" s="271">
        <f>_xlfn.IFNA(((P26*(VLOOKUP($N26,'Model Assumptions'!$B$10:$C$12,2,FALSE)))/2)+$K26,0)</f>
        <v>0</v>
      </c>
      <c r="U26" s="272">
        <f t="shared" ref="U26:U76" si="10">(S26/(1-Q26))*Q26</f>
        <v>0</v>
      </c>
      <c r="V26" s="262">
        <f>_xlfn.IFNA(INDEX('Model Assumptions'!$C$30:$F$38,MATCH('Building Breakdown'!$J26,'Model Assumptions'!$B$30:$B$38,0),MATCH('Building Breakdown'!V$22,'Model Assumptions'!$C$29:$F$29,0)),0)</f>
        <v>0</v>
      </c>
      <c r="W26" s="263">
        <f>_xlfn.IFNA(INDEX('Model Assumptions'!$C$30:$F$38,MATCH('Building Breakdown'!$J26,'Model Assumptions'!$B$30:$B$38,0),MATCH('Building Breakdown'!$N26,'Model Assumptions'!$C$29:$F$29,0)),0)</f>
        <v>0</v>
      </c>
      <c r="X26" s="264">
        <f>_xlfn.IFNA(VLOOKUP(O26,'Model Assumptions'!H$30:I$32,2,FALSE),0)</f>
        <v>0</v>
      </c>
      <c r="Y26" s="202">
        <f>(((($S26*$V26)+($T26*$W26)+($U26*$X26))*($G26-(VLOOKUP($D$7,'Model Assumptions'!$B$50:$O$72,2,FALSE))))/1000)*$E26</f>
        <v>0</v>
      </c>
      <c r="Z26" s="203">
        <f>(((($S26*$V26)+($T26*$W26)+($U26*$X26))*($G26-(VLOOKUP($D$7,'Model Assumptions'!$B$50:$O$72,3,FALSE))))/1000)*$E26</f>
        <v>0</v>
      </c>
      <c r="AA26" s="203">
        <f>(((($S26*$V26)+($T26*$W26)+($U26*$X26))*($G26-(VLOOKUP($D$7,'Model Assumptions'!$B$50:$O$72,4,FALSE))))/1000)*$E26</f>
        <v>0</v>
      </c>
      <c r="AB26" s="203">
        <f>(((($S26*$V26)+($T26*$W26)+($U26*$X26))*($G26-(VLOOKUP($D$7,'Model Assumptions'!$B$50:$O$72,5,FALSE))))/1000)*$E26</f>
        <v>0</v>
      </c>
      <c r="AC26" s="203">
        <f>(((($S26*$V26)+($T26*$W26)+($U26*$X26))*($G26-(VLOOKUP($D$7,'Model Assumptions'!$B$50:$O$72,6,FALSE))))/1000)*$E26</f>
        <v>0</v>
      </c>
      <c r="AD26" s="203">
        <f>(((($S26*$V26)+($T26*$W26)+($U26*$X26))*($G26-(VLOOKUP($D$7,'Model Assumptions'!$B$50:$O$72,7,FALSE))))/1000)*$E26</f>
        <v>0</v>
      </c>
      <c r="AE26" s="203">
        <f>(((($S26*$V26)+($T26*$W26)+($U26*$X26))*($G26-(VLOOKUP($D$7,'Model Assumptions'!$B$50:$O$72,8,FALSE))))/1000)*$E26</f>
        <v>0</v>
      </c>
      <c r="AF26" s="203">
        <f>(((($S26*$V26)+($T26*$W26)+($U26*$X26))*($G26-(VLOOKUP($D$7,'Model Assumptions'!$B$50:$O$72,9,FALSE))))/1000)*$E26</f>
        <v>0</v>
      </c>
      <c r="AG26" s="203">
        <f>(((($S26*$V26)+($T26*$W26)+($U26*$X26))*($G26-(VLOOKUP($D$7,'Model Assumptions'!$B$50:$O$72,10,FALSE))))/1000)*$E26</f>
        <v>0</v>
      </c>
      <c r="AH26" s="203">
        <f>(((($S26*$V26)+($T26*$W26)+($U26*$X26))*($G26-(VLOOKUP($D$7,'Model Assumptions'!$B$50:$O$72,11,FALSE))))/1000)*$E26</f>
        <v>0</v>
      </c>
      <c r="AI26" s="203">
        <f>(((($S26*$V26)+($T26*$W26)+($U26*$X26))*($G26-(VLOOKUP($D$7,'Model Assumptions'!$B$50:$O$72,12,FALSE))))/1000)*$E26</f>
        <v>0</v>
      </c>
      <c r="AJ26" s="204">
        <f>(((($S26*$V26)+($T26*$W26)+($U26*$X26))*($G26-(VLOOKUP($D$7,'Model Assumptions'!$B$50:$O$72,13,FALSE))))/1000)*$E26</f>
        <v>0</v>
      </c>
      <c r="AK26" s="193">
        <f>Y26*VLOOKUP("Hours",'Model Assumptions'!$B$50:$O$72,2,FALSE)*$H26*$I26/168</f>
        <v>0</v>
      </c>
      <c r="AL26" s="194">
        <f>Z26*VLOOKUP("Hours",'Model Assumptions'!$B$50:$O$72,3,FALSE)*$H26*$I26/168</f>
        <v>0</v>
      </c>
      <c r="AM26" s="194">
        <f>AA26*VLOOKUP("Hours",'Model Assumptions'!$B$50:$O$72,4,FALSE)*$H26*$I26/168</f>
        <v>0</v>
      </c>
      <c r="AN26" s="194">
        <f>AB26*VLOOKUP("Hours",'Model Assumptions'!$B$50:$O$72,5,FALSE)*$H26*$I26/168</f>
        <v>0</v>
      </c>
      <c r="AO26" s="194">
        <f>AC26*VLOOKUP("Hours",'Model Assumptions'!$B$50:$O$72,6,FALSE)*$H26*$I26/168</f>
        <v>0</v>
      </c>
      <c r="AP26" s="194">
        <f>AD26*VLOOKUP("Hours",'Model Assumptions'!$B$50:$O$72,7,FALSE)*$H26*$I26/168</f>
        <v>0</v>
      </c>
      <c r="AQ26" s="194">
        <f>AE26*VLOOKUP("Hours",'Model Assumptions'!$B$50:$O$72,8,FALSE)*$H26*$I26/168</f>
        <v>0</v>
      </c>
      <c r="AR26" s="194">
        <f>AF26*VLOOKUP("Hours",'Model Assumptions'!$B$50:$O$72,9,FALSE)*$H26*$I26/168</f>
        <v>0</v>
      </c>
      <c r="AS26" s="194">
        <f>AG26*VLOOKUP("Hours",'Model Assumptions'!$B$50:$O$72,10,FALSE)*$H26*$I26/168</f>
        <v>0</v>
      </c>
      <c r="AT26" s="194">
        <f>AH26*VLOOKUP("Hours",'Model Assumptions'!$B$50:$O$72,11,FALSE)*$H26*$I26/168</f>
        <v>0</v>
      </c>
      <c r="AU26" s="194">
        <f>AI26*VLOOKUP("Hours",'Model Assumptions'!$B$50:$O$72,12,FALSE)*$H26*$I26/168</f>
        <v>0</v>
      </c>
      <c r="AV26" s="195">
        <f>AJ26*VLOOKUP("Hours",'Model Assumptions'!$B$50:$O$72,13,FALSE)*$H26*$I26/168</f>
        <v>0</v>
      </c>
      <c r="AW26" s="249">
        <f t="shared" si="5"/>
        <v>0</v>
      </c>
      <c r="AX26" s="250">
        <f t="shared" si="6"/>
        <v>0</v>
      </c>
      <c r="AZ26" s="106"/>
      <c r="BA26" s="234">
        <f t="shared" si="7"/>
        <v>0</v>
      </c>
      <c r="BB26" s="234" t="str">
        <f>_xlfn.IFNA(BA26*INDEX('Bees Non-Electric Breakdown'!$E$20:$AQ$20,1,MATCH('Building Breakdown'!AZ26,'Bees Non-Electric Breakdown'!$E$7:$AQ$7,0)),"")</f>
        <v/>
      </c>
    </row>
    <row r="27" spans="1:55" x14ac:dyDescent="0.3">
      <c r="B27" s="106"/>
      <c r="C27" s="106"/>
      <c r="D27" s="115"/>
      <c r="E27" s="116"/>
      <c r="F27" s="116"/>
      <c r="G27" s="116"/>
      <c r="H27" s="116"/>
      <c r="I27" s="116"/>
      <c r="J27" s="116"/>
      <c r="K27" s="117"/>
      <c r="L27" s="116"/>
      <c r="M27" s="118"/>
      <c r="N27" s="125"/>
      <c r="O27" s="126"/>
      <c r="P27" s="117"/>
      <c r="Q27" s="261">
        <f>_xlfn.IFNA(VLOOKUP(D27,'Model Assumptions'!$B$15:$D$17,3,FALSE),0)</f>
        <v>0</v>
      </c>
      <c r="R27" s="270">
        <f t="shared" si="8"/>
        <v>0</v>
      </c>
      <c r="S27" s="271">
        <f t="shared" si="9"/>
        <v>0</v>
      </c>
      <c r="T27" s="271">
        <f>_xlfn.IFNA(((P27*(VLOOKUP($N27,'Model Assumptions'!$B$10:$C$12,2,FALSE)))/2)+$K27,0)</f>
        <v>0</v>
      </c>
      <c r="U27" s="272">
        <f t="shared" si="10"/>
        <v>0</v>
      </c>
      <c r="V27" s="262">
        <f>_xlfn.IFNA(INDEX('Model Assumptions'!$C$30:$F$38,MATCH('Building Breakdown'!$J27,'Model Assumptions'!$B$30:$B$38,0),MATCH('Building Breakdown'!V$22,'Model Assumptions'!$C$29:$F$29,0)),0)</f>
        <v>0</v>
      </c>
      <c r="W27" s="263">
        <f>_xlfn.IFNA(INDEX('Model Assumptions'!$C$30:$F$38,MATCH('Building Breakdown'!$J27,'Model Assumptions'!$B$30:$B$38,0),MATCH('Building Breakdown'!$N27,'Model Assumptions'!$C$29:$F$29,0)),0)</f>
        <v>0</v>
      </c>
      <c r="X27" s="264">
        <f>_xlfn.IFNA(VLOOKUP(O27,'Model Assumptions'!H$30:I$32,2,FALSE),0)</f>
        <v>0</v>
      </c>
      <c r="Y27" s="202">
        <f>(((($S27*$V27)+($T27*$W27)+($U27*$X27))*($G27-(VLOOKUP($D$7,'Model Assumptions'!$B$50:$O$72,2,FALSE))))/1000)*$E27</f>
        <v>0</v>
      </c>
      <c r="Z27" s="203">
        <f>(((($S27*$V27)+($T27*$W27)+($U27*$X27))*($G27-(VLOOKUP($D$7,'Model Assumptions'!$B$50:$O$72,3,FALSE))))/1000)*$E27</f>
        <v>0</v>
      </c>
      <c r="AA27" s="203">
        <f>(((($S27*$V27)+($T27*$W27)+($U27*$X27))*($G27-(VLOOKUP($D$7,'Model Assumptions'!$B$50:$O$72,4,FALSE))))/1000)*$E27</f>
        <v>0</v>
      </c>
      <c r="AB27" s="203">
        <f>(((($S27*$V27)+($T27*$W27)+($U27*$X27))*($G27-(VLOOKUP($D$7,'Model Assumptions'!$B$50:$O$72,5,FALSE))))/1000)*$E27</f>
        <v>0</v>
      </c>
      <c r="AC27" s="203">
        <f>(((($S27*$V27)+($T27*$W27)+($U27*$X27))*($G27-(VLOOKUP($D$7,'Model Assumptions'!$B$50:$O$72,6,FALSE))))/1000)*$E27</f>
        <v>0</v>
      </c>
      <c r="AD27" s="203">
        <f>(((($S27*$V27)+($T27*$W27)+($U27*$X27))*($G27-(VLOOKUP($D$7,'Model Assumptions'!$B$50:$O$72,7,FALSE))))/1000)*$E27</f>
        <v>0</v>
      </c>
      <c r="AE27" s="203">
        <f>(((($S27*$V27)+($T27*$W27)+($U27*$X27))*($G27-(VLOOKUP($D$7,'Model Assumptions'!$B$50:$O$72,8,FALSE))))/1000)*$E27</f>
        <v>0</v>
      </c>
      <c r="AF27" s="203">
        <f>(((($S27*$V27)+($T27*$W27)+($U27*$X27))*($G27-(VLOOKUP($D$7,'Model Assumptions'!$B$50:$O$72,9,FALSE))))/1000)*$E27</f>
        <v>0</v>
      </c>
      <c r="AG27" s="203">
        <f>(((($S27*$V27)+($T27*$W27)+($U27*$X27))*($G27-(VLOOKUP($D$7,'Model Assumptions'!$B$50:$O$72,10,FALSE))))/1000)*$E27</f>
        <v>0</v>
      </c>
      <c r="AH27" s="203">
        <f>(((($S27*$V27)+($T27*$W27)+($U27*$X27))*($G27-(VLOOKUP($D$7,'Model Assumptions'!$B$50:$O$72,11,FALSE))))/1000)*$E27</f>
        <v>0</v>
      </c>
      <c r="AI27" s="203">
        <f>(((($S27*$V27)+($T27*$W27)+($U27*$X27))*($G27-(VLOOKUP($D$7,'Model Assumptions'!$B$50:$O$72,12,FALSE))))/1000)*$E27</f>
        <v>0</v>
      </c>
      <c r="AJ27" s="204">
        <f>(((($S27*$V27)+($T27*$W27)+($U27*$X27))*($G27-(VLOOKUP($D$7,'Model Assumptions'!$B$50:$O$72,13,FALSE))))/1000)*$E27</f>
        <v>0</v>
      </c>
      <c r="AK27" s="193">
        <f>Y27*VLOOKUP("Hours",'Model Assumptions'!$B$50:$O$72,2,FALSE)*$H27*$I27/168</f>
        <v>0</v>
      </c>
      <c r="AL27" s="194">
        <f>Z27*VLOOKUP("Hours",'Model Assumptions'!$B$50:$O$72,3,FALSE)*$H27*$I27/168</f>
        <v>0</v>
      </c>
      <c r="AM27" s="194">
        <f>AA27*VLOOKUP("Hours",'Model Assumptions'!$B$50:$O$72,4,FALSE)*$H27*$I27/168</f>
        <v>0</v>
      </c>
      <c r="AN27" s="194">
        <f>AB27*VLOOKUP("Hours",'Model Assumptions'!$B$50:$O$72,5,FALSE)*$H27*$I27/168</f>
        <v>0</v>
      </c>
      <c r="AO27" s="194">
        <f>AC27*VLOOKUP("Hours",'Model Assumptions'!$B$50:$O$72,6,FALSE)*$H27*$I27/168</f>
        <v>0</v>
      </c>
      <c r="AP27" s="194">
        <f>AD27*VLOOKUP("Hours",'Model Assumptions'!$B$50:$O$72,7,FALSE)*$H27*$I27/168</f>
        <v>0</v>
      </c>
      <c r="AQ27" s="194">
        <f>AE27*VLOOKUP("Hours",'Model Assumptions'!$B$50:$O$72,8,FALSE)*$H27*$I27/168</f>
        <v>0</v>
      </c>
      <c r="AR27" s="194">
        <f>AF27*VLOOKUP("Hours",'Model Assumptions'!$B$50:$O$72,9,FALSE)*$H27*$I27/168</f>
        <v>0</v>
      </c>
      <c r="AS27" s="194">
        <f>AG27*VLOOKUP("Hours",'Model Assumptions'!$B$50:$O$72,10,FALSE)*$H27*$I27/168</f>
        <v>0</v>
      </c>
      <c r="AT27" s="194">
        <f>AH27*VLOOKUP("Hours",'Model Assumptions'!$B$50:$O$72,11,FALSE)*$H27*$I27/168</f>
        <v>0</v>
      </c>
      <c r="AU27" s="194">
        <f>AI27*VLOOKUP("Hours",'Model Assumptions'!$B$50:$O$72,12,FALSE)*$H27*$I27/168</f>
        <v>0</v>
      </c>
      <c r="AV27" s="195">
        <f>AJ27*VLOOKUP("Hours",'Model Assumptions'!$B$50:$O$72,13,FALSE)*$H27*$I27/168</f>
        <v>0</v>
      </c>
      <c r="AW27" s="249">
        <f t="shared" si="5"/>
        <v>0</v>
      </c>
      <c r="AX27" s="250">
        <f t="shared" si="6"/>
        <v>0</v>
      </c>
      <c r="AZ27" s="106"/>
      <c r="BA27" s="234">
        <f t="shared" si="7"/>
        <v>0</v>
      </c>
      <c r="BB27" s="234" t="str">
        <f>_xlfn.IFNA(BA27*INDEX('Bees Non-Electric Breakdown'!$E$20:$AQ$20,1,MATCH('Building Breakdown'!AZ27,'Bees Non-Electric Breakdown'!$E$7:$AQ$7,0)),"")</f>
        <v/>
      </c>
    </row>
    <row r="28" spans="1:55" x14ac:dyDescent="0.3">
      <c r="B28" s="106"/>
      <c r="C28" s="106"/>
      <c r="D28" s="115"/>
      <c r="E28" s="116"/>
      <c r="F28" s="116"/>
      <c r="G28" s="116"/>
      <c r="H28" s="116"/>
      <c r="I28" s="116"/>
      <c r="J28" s="116"/>
      <c r="K28" s="117"/>
      <c r="L28" s="116"/>
      <c r="M28" s="118"/>
      <c r="N28" s="125"/>
      <c r="O28" s="126"/>
      <c r="P28" s="117"/>
      <c r="Q28" s="261">
        <f>_xlfn.IFNA(VLOOKUP(D28,'Model Assumptions'!$B$15:$D$17,3,FALSE),0)</f>
        <v>0</v>
      </c>
      <c r="R28" s="270">
        <f t="shared" si="8"/>
        <v>0</v>
      </c>
      <c r="S28" s="271">
        <f t="shared" si="9"/>
        <v>0</v>
      </c>
      <c r="T28" s="271">
        <f>_xlfn.IFNA(((P28*(VLOOKUP($N28,'Model Assumptions'!$B$10:$C$12,2,FALSE)))/2)+$K28,0)</f>
        <v>0</v>
      </c>
      <c r="U28" s="272">
        <f t="shared" si="10"/>
        <v>0</v>
      </c>
      <c r="V28" s="262">
        <f>_xlfn.IFNA(INDEX('Model Assumptions'!$C$30:$F$38,MATCH('Building Breakdown'!$J28,'Model Assumptions'!$B$30:$B$38,0),MATCH('Building Breakdown'!V$22,'Model Assumptions'!$C$29:$F$29,0)),0)</f>
        <v>0</v>
      </c>
      <c r="W28" s="263">
        <f>_xlfn.IFNA(INDEX('Model Assumptions'!$C$30:$F$38,MATCH('Building Breakdown'!$J28,'Model Assumptions'!$B$30:$B$38,0),MATCH('Building Breakdown'!$N28,'Model Assumptions'!$C$29:$F$29,0)),0)</f>
        <v>0</v>
      </c>
      <c r="X28" s="264">
        <f>_xlfn.IFNA(VLOOKUP(O28,'Model Assumptions'!H$30:I$32,2,FALSE),0)</f>
        <v>0</v>
      </c>
      <c r="Y28" s="202">
        <f>(((($S28*$V28)+($T28*$W28)+($U28*$X28))*($G28-(VLOOKUP($D$7,'Model Assumptions'!$B$50:$O$72,2,FALSE))))/1000)*$E28</f>
        <v>0</v>
      </c>
      <c r="Z28" s="203">
        <f>(((($S28*$V28)+($T28*$W28)+($U28*$X28))*($G28-(VLOOKUP($D$7,'Model Assumptions'!$B$50:$O$72,3,FALSE))))/1000)*$E28</f>
        <v>0</v>
      </c>
      <c r="AA28" s="203">
        <f>(((($S28*$V28)+($T28*$W28)+($U28*$X28))*($G28-(VLOOKUP($D$7,'Model Assumptions'!$B$50:$O$72,4,FALSE))))/1000)*$E28</f>
        <v>0</v>
      </c>
      <c r="AB28" s="203">
        <f>(((($S28*$V28)+($T28*$W28)+($U28*$X28))*($G28-(VLOOKUP($D$7,'Model Assumptions'!$B$50:$O$72,5,FALSE))))/1000)*$E28</f>
        <v>0</v>
      </c>
      <c r="AC28" s="203">
        <f>(((($S28*$V28)+($T28*$W28)+($U28*$X28))*($G28-(VLOOKUP($D$7,'Model Assumptions'!$B$50:$O$72,6,FALSE))))/1000)*$E28</f>
        <v>0</v>
      </c>
      <c r="AD28" s="203">
        <f>(((($S28*$V28)+($T28*$W28)+($U28*$X28))*($G28-(VLOOKUP($D$7,'Model Assumptions'!$B$50:$O$72,7,FALSE))))/1000)*$E28</f>
        <v>0</v>
      </c>
      <c r="AE28" s="203">
        <f>(((($S28*$V28)+($T28*$W28)+($U28*$X28))*($G28-(VLOOKUP($D$7,'Model Assumptions'!$B$50:$O$72,8,FALSE))))/1000)*$E28</f>
        <v>0</v>
      </c>
      <c r="AF28" s="203">
        <f>(((($S28*$V28)+($T28*$W28)+($U28*$X28))*($G28-(VLOOKUP($D$7,'Model Assumptions'!$B$50:$O$72,9,FALSE))))/1000)*$E28</f>
        <v>0</v>
      </c>
      <c r="AG28" s="203">
        <f>(((($S28*$V28)+($T28*$W28)+($U28*$X28))*($G28-(VLOOKUP($D$7,'Model Assumptions'!$B$50:$O$72,10,FALSE))))/1000)*$E28</f>
        <v>0</v>
      </c>
      <c r="AH28" s="203">
        <f>(((($S28*$V28)+($T28*$W28)+($U28*$X28))*($G28-(VLOOKUP($D$7,'Model Assumptions'!$B$50:$O$72,11,FALSE))))/1000)*$E28</f>
        <v>0</v>
      </c>
      <c r="AI28" s="203">
        <f>(((($S28*$V28)+($T28*$W28)+($U28*$X28))*($G28-(VLOOKUP($D$7,'Model Assumptions'!$B$50:$O$72,12,FALSE))))/1000)*$E28</f>
        <v>0</v>
      </c>
      <c r="AJ28" s="204">
        <f>(((($S28*$V28)+($T28*$W28)+($U28*$X28))*($G28-(VLOOKUP($D$7,'Model Assumptions'!$B$50:$O$72,13,FALSE))))/1000)*$E28</f>
        <v>0</v>
      </c>
      <c r="AK28" s="193">
        <f>Y28*VLOOKUP("Hours",'Model Assumptions'!$B$50:$O$72,2,FALSE)*$H28*$I28/168</f>
        <v>0</v>
      </c>
      <c r="AL28" s="194">
        <f>Z28*VLOOKUP("Hours",'Model Assumptions'!$B$50:$O$72,3,FALSE)*$H28*$I28/168</f>
        <v>0</v>
      </c>
      <c r="AM28" s="194">
        <f>AA28*VLOOKUP("Hours",'Model Assumptions'!$B$50:$O$72,4,FALSE)*$H28*$I28/168</f>
        <v>0</v>
      </c>
      <c r="AN28" s="194">
        <f>AB28*VLOOKUP("Hours",'Model Assumptions'!$B$50:$O$72,5,FALSE)*$H28*$I28/168</f>
        <v>0</v>
      </c>
      <c r="AO28" s="194">
        <f>AC28*VLOOKUP("Hours",'Model Assumptions'!$B$50:$O$72,6,FALSE)*$H28*$I28/168</f>
        <v>0</v>
      </c>
      <c r="AP28" s="194">
        <f>AD28*VLOOKUP("Hours",'Model Assumptions'!$B$50:$O$72,7,FALSE)*$H28*$I28/168</f>
        <v>0</v>
      </c>
      <c r="AQ28" s="194">
        <f>AE28*VLOOKUP("Hours",'Model Assumptions'!$B$50:$O$72,8,FALSE)*$H28*$I28/168</f>
        <v>0</v>
      </c>
      <c r="AR28" s="194">
        <f>AF28*VLOOKUP("Hours",'Model Assumptions'!$B$50:$O$72,9,FALSE)*$H28*$I28/168</f>
        <v>0</v>
      </c>
      <c r="AS28" s="194">
        <f>AG28*VLOOKUP("Hours",'Model Assumptions'!$B$50:$O$72,10,FALSE)*$H28*$I28/168</f>
        <v>0</v>
      </c>
      <c r="AT28" s="194">
        <f>AH28*VLOOKUP("Hours",'Model Assumptions'!$B$50:$O$72,11,FALSE)*$H28*$I28/168</f>
        <v>0</v>
      </c>
      <c r="AU28" s="194">
        <f>AI28*VLOOKUP("Hours",'Model Assumptions'!$B$50:$O$72,12,FALSE)*$H28*$I28/168</f>
        <v>0</v>
      </c>
      <c r="AV28" s="195">
        <f>AJ28*VLOOKUP("Hours",'Model Assumptions'!$B$50:$O$72,13,FALSE)*$H28*$I28/168</f>
        <v>0</v>
      </c>
      <c r="AW28" s="249">
        <f t="shared" si="5"/>
        <v>0</v>
      </c>
      <c r="AX28" s="250">
        <f t="shared" si="6"/>
        <v>0</v>
      </c>
      <c r="AZ28" s="106"/>
      <c r="BA28" s="234">
        <f t="shared" si="7"/>
        <v>0</v>
      </c>
      <c r="BB28" s="234" t="str">
        <f>_xlfn.IFNA(BA28*INDEX('Bees Non-Electric Breakdown'!$E$20:$AQ$20,1,MATCH('Building Breakdown'!AZ28,'Bees Non-Electric Breakdown'!$E$7:$AQ$7,0)),"")</f>
        <v/>
      </c>
    </row>
    <row r="29" spans="1:55" x14ac:dyDescent="0.3">
      <c r="B29" s="106"/>
      <c r="C29" s="106"/>
      <c r="D29" s="115"/>
      <c r="E29" s="116"/>
      <c r="F29" s="116"/>
      <c r="G29" s="116"/>
      <c r="H29" s="116"/>
      <c r="I29" s="116"/>
      <c r="J29" s="116"/>
      <c r="K29" s="117"/>
      <c r="L29" s="116"/>
      <c r="M29" s="118"/>
      <c r="N29" s="125"/>
      <c r="O29" s="126"/>
      <c r="P29" s="117"/>
      <c r="Q29" s="261">
        <f>_xlfn.IFNA(VLOOKUP(D29,'Model Assumptions'!$B$15:$D$17,3,FALSE),0)</f>
        <v>0</v>
      </c>
      <c r="R29" s="270">
        <f t="shared" si="8"/>
        <v>0</v>
      </c>
      <c r="S29" s="271">
        <f t="shared" si="9"/>
        <v>0</v>
      </c>
      <c r="T29" s="271">
        <f>_xlfn.IFNA(((P29*(VLOOKUP($N29,'Model Assumptions'!$B$10:$C$12,2,FALSE)))/2)+$K29,0)</f>
        <v>0</v>
      </c>
      <c r="U29" s="272">
        <f t="shared" si="10"/>
        <v>0</v>
      </c>
      <c r="V29" s="262">
        <f>_xlfn.IFNA(INDEX('Model Assumptions'!$C$30:$F$38,MATCH('Building Breakdown'!$J29,'Model Assumptions'!$B$30:$B$38,0),MATCH('Building Breakdown'!V$22,'Model Assumptions'!$C$29:$F$29,0)),0)</f>
        <v>0</v>
      </c>
      <c r="W29" s="263">
        <f>_xlfn.IFNA(INDEX('Model Assumptions'!$C$30:$F$38,MATCH('Building Breakdown'!$J29,'Model Assumptions'!$B$30:$B$38,0),MATCH('Building Breakdown'!$N29,'Model Assumptions'!$C$29:$F$29,0)),0)</f>
        <v>0</v>
      </c>
      <c r="X29" s="264">
        <f>_xlfn.IFNA(VLOOKUP(O29,'Model Assumptions'!H$30:I$32,2,FALSE),0)</f>
        <v>0</v>
      </c>
      <c r="Y29" s="202">
        <f>(((($S29*$V29)+($T29*$W29)+($U29*$X29))*($G29-(VLOOKUP($D$7,'Model Assumptions'!$B$50:$O$72,2,FALSE))))/1000)*$E29</f>
        <v>0</v>
      </c>
      <c r="Z29" s="203">
        <f>(((($S29*$V29)+($T29*$W29)+($U29*$X29))*($G29-(VLOOKUP($D$7,'Model Assumptions'!$B$50:$O$72,3,FALSE))))/1000)*$E29</f>
        <v>0</v>
      </c>
      <c r="AA29" s="203">
        <f>(((($S29*$V29)+($T29*$W29)+($U29*$X29))*($G29-(VLOOKUP($D$7,'Model Assumptions'!$B$50:$O$72,4,FALSE))))/1000)*$E29</f>
        <v>0</v>
      </c>
      <c r="AB29" s="203">
        <f>(((($S29*$V29)+($T29*$W29)+($U29*$X29))*($G29-(VLOOKUP($D$7,'Model Assumptions'!$B$50:$O$72,5,FALSE))))/1000)*$E29</f>
        <v>0</v>
      </c>
      <c r="AC29" s="203">
        <f>(((($S29*$V29)+($T29*$W29)+($U29*$X29))*($G29-(VLOOKUP($D$7,'Model Assumptions'!$B$50:$O$72,6,FALSE))))/1000)*$E29</f>
        <v>0</v>
      </c>
      <c r="AD29" s="203">
        <f>(((($S29*$V29)+($T29*$W29)+($U29*$X29))*($G29-(VLOOKUP($D$7,'Model Assumptions'!$B$50:$O$72,7,FALSE))))/1000)*$E29</f>
        <v>0</v>
      </c>
      <c r="AE29" s="203">
        <f>(((($S29*$V29)+($T29*$W29)+($U29*$X29))*($G29-(VLOOKUP($D$7,'Model Assumptions'!$B$50:$O$72,8,FALSE))))/1000)*$E29</f>
        <v>0</v>
      </c>
      <c r="AF29" s="203">
        <f>(((($S29*$V29)+($T29*$W29)+($U29*$X29))*($G29-(VLOOKUP($D$7,'Model Assumptions'!$B$50:$O$72,9,FALSE))))/1000)*$E29</f>
        <v>0</v>
      </c>
      <c r="AG29" s="203">
        <f>(((($S29*$V29)+($T29*$W29)+($U29*$X29))*($G29-(VLOOKUP($D$7,'Model Assumptions'!$B$50:$O$72,10,FALSE))))/1000)*$E29</f>
        <v>0</v>
      </c>
      <c r="AH29" s="203">
        <f>(((($S29*$V29)+($T29*$W29)+($U29*$X29))*($G29-(VLOOKUP($D$7,'Model Assumptions'!$B$50:$O$72,11,FALSE))))/1000)*$E29</f>
        <v>0</v>
      </c>
      <c r="AI29" s="203">
        <f>(((($S29*$V29)+($T29*$W29)+($U29*$X29))*($G29-(VLOOKUP($D$7,'Model Assumptions'!$B$50:$O$72,12,FALSE))))/1000)*$E29</f>
        <v>0</v>
      </c>
      <c r="AJ29" s="204">
        <f>(((($S29*$V29)+($T29*$W29)+($U29*$X29))*($G29-(VLOOKUP($D$7,'Model Assumptions'!$B$50:$O$72,13,FALSE))))/1000)*$E29</f>
        <v>0</v>
      </c>
      <c r="AK29" s="193">
        <f>Y29*VLOOKUP("Hours",'Model Assumptions'!$B$50:$O$72,2,FALSE)*$H29*$I29/168</f>
        <v>0</v>
      </c>
      <c r="AL29" s="194">
        <f>Z29*VLOOKUP("Hours",'Model Assumptions'!$B$50:$O$72,3,FALSE)*$H29*$I29/168</f>
        <v>0</v>
      </c>
      <c r="AM29" s="194">
        <f>AA29*VLOOKUP("Hours",'Model Assumptions'!$B$50:$O$72,4,FALSE)*$H29*$I29/168</f>
        <v>0</v>
      </c>
      <c r="AN29" s="194">
        <f>AB29*VLOOKUP("Hours",'Model Assumptions'!$B$50:$O$72,5,FALSE)*$H29*$I29/168</f>
        <v>0</v>
      </c>
      <c r="AO29" s="194">
        <f>AC29*VLOOKUP("Hours",'Model Assumptions'!$B$50:$O$72,6,FALSE)*$H29*$I29/168</f>
        <v>0</v>
      </c>
      <c r="AP29" s="194">
        <f>AD29*VLOOKUP("Hours",'Model Assumptions'!$B$50:$O$72,7,FALSE)*$H29*$I29/168</f>
        <v>0</v>
      </c>
      <c r="AQ29" s="194">
        <f>AE29*VLOOKUP("Hours",'Model Assumptions'!$B$50:$O$72,8,FALSE)*$H29*$I29/168</f>
        <v>0</v>
      </c>
      <c r="AR29" s="194">
        <f>AF29*VLOOKUP("Hours",'Model Assumptions'!$B$50:$O$72,9,FALSE)*$H29*$I29/168</f>
        <v>0</v>
      </c>
      <c r="AS29" s="194">
        <f>AG29*VLOOKUP("Hours",'Model Assumptions'!$B$50:$O$72,10,FALSE)*$H29*$I29/168</f>
        <v>0</v>
      </c>
      <c r="AT29" s="194">
        <f>AH29*VLOOKUP("Hours",'Model Assumptions'!$B$50:$O$72,11,FALSE)*$H29*$I29/168</f>
        <v>0</v>
      </c>
      <c r="AU29" s="194">
        <f>AI29*VLOOKUP("Hours",'Model Assumptions'!$B$50:$O$72,12,FALSE)*$H29*$I29/168</f>
        <v>0</v>
      </c>
      <c r="AV29" s="195">
        <f>AJ29*VLOOKUP("Hours",'Model Assumptions'!$B$50:$O$72,13,FALSE)*$H29*$I29/168</f>
        <v>0</v>
      </c>
      <c r="AW29" s="249">
        <f t="shared" si="5"/>
        <v>0</v>
      </c>
      <c r="AX29" s="250">
        <f t="shared" si="6"/>
        <v>0</v>
      </c>
      <c r="AZ29" s="106"/>
      <c r="BA29" s="234">
        <f t="shared" si="7"/>
        <v>0</v>
      </c>
      <c r="BB29" s="234" t="str">
        <f>_xlfn.IFNA(BA29*INDEX('Bees Non-Electric Breakdown'!$E$20:$AQ$20,1,MATCH('Building Breakdown'!AZ29,'Bees Non-Electric Breakdown'!$E$7:$AQ$7,0)),"")</f>
        <v/>
      </c>
    </row>
    <row r="30" spans="1:55" x14ac:dyDescent="0.3">
      <c r="B30" s="106"/>
      <c r="C30" s="106"/>
      <c r="D30" s="115"/>
      <c r="E30" s="116"/>
      <c r="F30" s="116"/>
      <c r="G30" s="116"/>
      <c r="H30" s="116"/>
      <c r="I30" s="116"/>
      <c r="J30" s="116"/>
      <c r="K30" s="117"/>
      <c r="L30" s="116"/>
      <c r="M30" s="118"/>
      <c r="N30" s="125"/>
      <c r="O30" s="126"/>
      <c r="P30" s="117"/>
      <c r="Q30" s="261">
        <f>_xlfn.IFNA(VLOOKUP(D30,'Model Assumptions'!$B$15:$D$17,3,FALSE),0)</f>
        <v>0</v>
      </c>
      <c r="R30" s="270">
        <f t="shared" ref="R30:R62" si="11">K30</f>
        <v>0</v>
      </c>
      <c r="S30" s="271">
        <f t="shared" ref="S30:S62" si="12">P30*M30*L30*(1-Q30)</f>
        <v>0</v>
      </c>
      <c r="T30" s="271">
        <f>_xlfn.IFNA(((P30*(VLOOKUP($N30,'Model Assumptions'!$B$10:$C$12,2,FALSE)))/2)+$K30,0)</f>
        <v>0</v>
      </c>
      <c r="U30" s="272">
        <f t="shared" ref="U30:U62" si="13">(S30/(1-Q30))*Q30</f>
        <v>0</v>
      </c>
      <c r="V30" s="262">
        <f>_xlfn.IFNA(INDEX('Model Assumptions'!$C$30:$F$38,MATCH('Building Breakdown'!$J30,'Model Assumptions'!$B$30:$B$38,0),MATCH('Building Breakdown'!V$22,'Model Assumptions'!$C$29:$F$29,0)),0)</f>
        <v>0</v>
      </c>
      <c r="W30" s="263">
        <f>_xlfn.IFNA(INDEX('Model Assumptions'!$C$30:$F$38,MATCH('Building Breakdown'!$J30,'Model Assumptions'!$B$30:$B$38,0),MATCH('Building Breakdown'!$N30,'Model Assumptions'!$C$29:$F$29,0)),0)</f>
        <v>0</v>
      </c>
      <c r="X30" s="264">
        <f>_xlfn.IFNA(VLOOKUP(O30,'Model Assumptions'!H$30:I$32,2,FALSE),0)</f>
        <v>0</v>
      </c>
      <c r="Y30" s="202">
        <f>(((($S30*$V30)+($T30*$W30)+($U30*$X30))*($G30-(VLOOKUP($D$7,'Model Assumptions'!$B$50:$O$72,2,FALSE))))/1000)*$E30</f>
        <v>0</v>
      </c>
      <c r="Z30" s="203">
        <f>(((($S30*$V30)+($T30*$W30)+($U30*$X30))*($G30-(VLOOKUP($D$7,'Model Assumptions'!$B$50:$O$72,3,FALSE))))/1000)*$E30</f>
        <v>0</v>
      </c>
      <c r="AA30" s="203">
        <f>(((($S30*$V30)+($T30*$W30)+($U30*$X30))*($G30-(VLOOKUP($D$7,'Model Assumptions'!$B$50:$O$72,4,FALSE))))/1000)*$E30</f>
        <v>0</v>
      </c>
      <c r="AB30" s="203">
        <f>(((($S30*$V30)+($T30*$W30)+($U30*$X30))*($G30-(VLOOKUP($D$7,'Model Assumptions'!$B$50:$O$72,5,FALSE))))/1000)*$E30</f>
        <v>0</v>
      </c>
      <c r="AC30" s="203">
        <f>(((($S30*$V30)+($T30*$W30)+($U30*$X30))*($G30-(VLOOKUP($D$7,'Model Assumptions'!$B$50:$O$72,6,FALSE))))/1000)*$E30</f>
        <v>0</v>
      </c>
      <c r="AD30" s="203">
        <f>(((($S30*$V30)+($T30*$W30)+($U30*$X30))*($G30-(VLOOKUP($D$7,'Model Assumptions'!$B$50:$O$72,7,FALSE))))/1000)*$E30</f>
        <v>0</v>
      </c>
      <c r="AE30" s="203">
        <f>(((($S30*$V30)+($T30*$W30)+($U30*$X30))*($G30-(VLOOKUP($D$7,'Model Assumptions'!$B$50:$O$72,8,FALSE))))/1000)*$E30</f>
        <v>0</v>
      </c>
      <c r="AF30" s="203">
        <f>(((($S30*$V30)+($T30*$W30)+($U30*$X30))*($G30-(VLOOKUP($D$7,'Model Assumptions'!$B$50:$O$72,9,FALSE))))/1000)*$E30</f>
        <v>0</v>
      </c>
      <c r="AG30" s="203">
        <f>(((($S30*$V30)+($T30*$W30)+($U30*$X30))*($G30-(VLOOKUP($D$7,'Model Assumptions'!$B$50:$O$72,10,FALSE))))/1000)*$E30</f>
        <v>0</v>
      </c>
      <c r="AH30" s="203">
        <f>(((($S30*$V30)+($T30*$W30)+($U30*$X30))*($G30-(VLOOKUP($D$7,'Model Assumptions'!$B$50:$O$72,11,FALSE))))/1000)*$E30</f>
        <v>0</v>
      </c>
      <c r="AI30" s="203">
        <f>(((($S30*$V30)+($T30*$W30)+($U30*$X30))*($G30-(VLOOKUP($D$7,'Model Assumptions'!$B$50:$O$72,12,FALSE))))/1000)*$E30</f>
        <v>0</v>
      </c>
      <c r="AJ30" s="204">
        <f>(((($S30*$V30)+($T30*$W30)+($U30*$X30))*($G30-(VLOOKUP($D$7,'Model Assumptions'!$B$50:$O$72,13,FALSE))))/1000)*$E30</f>
        <v>0</v>
      </c>
      <c r="AK30" s="193">
        <f>Y30*VLOOKUP("Hours",'Model Assumptions'!$B$50:$O$72,2,FALSE)*$H30*$I30/168</f>
        <v>0</v>
      </c>
      <c r="AL30" s="194">
        <f>Z30*VLOOKUP("Hours",'Model Assumptions'!$B$50:$O$72,3,FALSE)*$H30*$I30/168</f>
        <v>0</v>
      </c>
      <c r="AM30" s="194">
        <f>AA30*VLOOKUP("Hours",'Model Assumptions'!$B$50:$O$72,4,FALSE)*$H30*$I30/168</f>
        <v>0</v>
      </c>
      <c r="AN30" s="194">
        <f>AB30*VLOOKUP("Hours",'Model Assumptions'!$B$50:$O$72,5,FALSE)*$H30*$I30/168</f>
        <v>0</v>
      </c>
      <c r="AO30" s="194">
        <f>AC30*VLOOKUP("Hours",'Model Assumptions'!$B$50:$O$72,6,FALSE)*$H30*$I30/168</f>
        <v>0</v>
      </c>
      <c r="AP30" s="194">
        <f>AD30*VLOOKUP("Hours",'Model Assumptions'!$B$50:$O$72,7,FALSE)*$H30*$I30/168</f>
        <v>0</v>
      </c>
      <c r="AQ30" s="194">
        <f>AE30*VLOOKUP("Hours",'Model Assumptions'!$B$50:$O$72,8,FALSE)*$H30*$I30/168</f>
        <v>0</v>
      </c>
      <c r="AR30" s="194">
        <f>AF30*VLOOKUP("Hours",'Model Assumptions'!$B$50:$O$72,9,FALSE)*$H30*$I30/168</f>
        <v>0</v>
      </c>
      <c r="AS30" s="194">
        <f>AG30*VLOOKUP("Hours",'Model Assumptions'!$B$50:$O$72,10,FALSE)*$H30*$I30/168</f>
        <v>0</v>
      </c>
      <c r="AT30" s="194">
        <f>AH30*VLOOKUP("Hours",'Model Assumptions'!$B$50:$O$72,11,FALSE)*$H30*$I30/168</f>
        <v>0</v>
      </c>
      <c r="AU30" s="194">
        <f>AI30*VLOOKUP("Hours",'Model Assumptions'!$B$50:$O$72,12,FALSE)*$H30*$I30/168</f>
        <v>0</v>
      </c>
      <c r="AV30" s="195">
        <f>AJ30*VLOOKUP("Hours",'Model Assumptions'!$B$50:$O$72,13,FALSE)*$H30*$I30/168</f>
        <v>0</v>
      </c>
      <c r="AW30" s="249">
        <f t="shared" ref="AW30:AW62" si="14">SUM(AK30:AV30)</f>
        <v>0</v>
      </c>
      <c r="AX30" s="250">
        <f t="shared" si="6"/>
        <v>0</v>
      </c>
      <c r="AZ30" s="106"/>
      <c r="BA30" s="234">
        <f t="shared" ref="BA30:BA62" si="15">K30*L30</f>
        <v>0</v>
      </c>
      <c r="BB30" s="234" t="str">
        <f>_xlfn.IFNA(BA30*INDEX('Bees Non-Electric Breakdown'!$E$20:$AQ$20,1,MATCH('Building Breakdown'!AZ30,'Bees Non-Electric Breakdown'!$E$7:$AQ$7,0)),"")</f>
        <v/>
      </c>
    </row>
    <row r="31" spans="1:55" x14ac:dyDescent="0.3">
      <c r="B31" s="106"/>
      <c r="C31" s="106"/>
      <c r="D31" s="115"/>
      <c r="E31" s="116"/>
      <c r="F31" s="116"/>
      <c r="G31" s="116"/>
      <c r="H31" s="116"/>
      <c r="I31" s="116"/>
      <c r="J31" s="116"/>
      <c r="K31" s="117"/>
      <c r="L31" s="116"/>
      <c r="M31" s="118"/>
      <c r="N31" s="125"/>
      <c r="O31" s="126"/>
      <c r="P31" s="117"/>
      <c r="Q31" s="261">
        <f>_xlfn.IFNA(VLOOKUP(D31,'Model Assumptions'!$B$15:$D$17,3,FALSE),0)</f>
        <v>0</v>
      </c>
      <c r="R31" s="270">
        <f t="shared" ref="R31:R50" si="16">K31</f>
        <v>0</v>
      </c>
      <c r="S31" s="271">
        <f t="shared" ref="S31:S50" si="17">P31*M31*L31*(1-Q31)</f>
        <v>0</v>
      </c>
      <c r="T31" s="271">
        <f>_xlfn.IFNA(((P31*(VLOOKUP($N31,'Model Assumptions'!$B$10:$C$12,2,FALSE)))/2)+$K31,0)</f>
        <v>0</v>
      </c>
      <c r="U31" s="272">
        <f t="shared" ref="U31:U50" si="18">(S31/(1-Q31))*Q31</f>
        <v>0</v>
      </c>
      <c r="V31" s="262">
        <f>_xlfn.IFNA(INDEX('Model Assumptions'!$C$30:$F$38,MATCH('Building Breakdown'!$J31,'Model Assumptions'!$B$30:$B$38,0),MATCH('Building Breakdown'!V$22,'Model Assumptions'!$C$29:$F$29,0)),0)</f>
        <v>0</v>
      </c>
      <c r="W31" s="263">
        <f>_xlfn.IFNA(INDEX('Model Assumptions'!$C$30:$F$38,MATCH('Building Breakdown'!$J31,'Model Assumptions'!$B$30:$B$38,0),MATCH('Building Breakdown'!$N31,'Model Assumptions'!$C$29:$F$29,0)),0)</f>
        <v>0</v>
      </c>
      <c r="X31" s="264">
        <f>_xlfn.IFNA(VLOOKUP(O31,'Model Assumptions'!H$30:I$32,2,FALSE),0)</f>
        <v>0</v>
      </c>
      <c r="Y31" s="202">
        <f>(((($S31*$V31)+($T31*$W31)+($U31*$X31))*($G31-(VLOOKUP($D$7,'Model Assumptions'!$B$50:$O$72,2,FALSE))))/1000)*$E31</f>
        <v>0</v>
      </c>
      <c r="Z31" s="203">
        <f>(((($S31*$V31)+($T31*$W31)+($U31*$X31))*($G31-(VLOOKUP($D$7,'Model Assumptions'!$B$50:$O$72,3,FALSE))))/1000)*$E31</f>
        <v>0</v>
      </c>
      <c r="AA31" s="203">
        <f>(((($S31*$V31)+($T31*$W31)+($U31*$X31))*($G31-(VLOOKUP($D$7,'Model Assumptions'!$B$50:$O$72,4,FALSE))))/1000)*$E31</f>
        <v>0</v>
      </c>
      <c r="AB31" s="203">
        <f>(((($S31*$V31)+($T31*$W31)+($U31*$X31))*($G31-(VLOOKUP($D$7,'Model Assumptions'!$B$50:$O$72,5,FALSE))))/1000)*$E31</f>
        <v>0</v>
      </c>
      <c r="AC31" s="203">
        <f>(((($S31*$V31)+($T31*$W31)+($U31*$X31))*($G31-(VLOOKUP($D$7,'Model Assumptions'!$B$50:$O$72,6,FALSE))))/1000)*$E31</f>
        <v>0</v>
      </c>
      <c r="AD31" s="203">
        <f>(((($S31*$V31)+($T31*$W31)+($U31*$X31))*($G31-(VLOOKUP($D$7,'Model Assumptions'!$B$50:$O$72,7,FALSE))))/1000)*$E31</f>
        <v>0</v>
      </c>
      <c r="AE31" s="203">
        <f>(((($S31*$V31)+($T31*$W31)+($U31*$X31))*($G31-(VLOOKUP($D$7,'Model Assumptions'!$B$50:$O$72,8,FALSE))))/1000)*$E31</f>
        <v>0</v>
      </c>
      <c r="AF31" s="203">
        <f>(((($S31*$V31)+($T31*$W31)+($U31*$X31))*($G31-(VLOOKUP($D$7,'Model Assumptions'!$B$50:$O$72,9,FALSE))))/1000)*$E31</f>
        <v>0</v>
      </c>
      <c r="AG31" s="203">
        <f>(((($S31*$V31)+($T31*$W31)+($U31*$X31))*($G31-(VLOOKUP($D$7,'Model Assumptions'!$B$50:$O$72,10,FALSE))))/1000)*$E31</f>
        <v>0</v>
      </c>
      <c r="AH31" s="203">
        <f>(((($S31*$V31)+($T31*$W31)+($U31*$X31))*($G31-(VLOOKUP($D$7,'Model Assumptions'!$B$50:$O$72,11,FALSE))))/1000)*$E31</f>
        <v>0</v>
      </c>
      <c r="AI31" s="203">
        <f>(((($S31*$V31)+($T31*$W31)+($U31*$X31))*($G31-(VLOOKUP($D$7,'Model Assumptions'!$B$50:$O$72,12,FALSE))))/1000)*$E31</f>
        <v>0</v>
      </c>
      <c r="AJ31" s="204">
        <f>(((($S31*$V31)+($T31*$W31)+($U31*$X31))*($G31-(VLOOKUP($D$7,'Model Assumptions'!$B$50:$O$72,13,FALSE))))/1000)*$E31</f>
        <v>0</v>
      </c>
      <c r="AK31" s="193">
        <f>Y31*VLOOKUP("Hours",'Model Assumptions'!$B$50:$O$72,2,FALSE)*$H31*$I31/168</f>
        <v>0</v>
      </c>
      <c r="AL31" s="194">
        <f>Z31*VLOOKUP("Hours",'Model Assumptions'!$B$50:$O$72,3,FALSE)*$H31*$I31/168</f>
        <v>0</v>
      </c>
      <c r="AM31" s="194">
        <f>AA31*VLOOKUP("Hours",'Model Assumptions'!$B$50:$O$72,4,FALSE)*$H31*$I31/168</f>
        <v>0</v>
      </c>
      <c r="AN31" s="194">
        <f>AB31*VLOOKUP("Hours",'Model Assumptions'!$B$50:$O$72,5,FALSE)*$H31*$I31/168</f>
        <v>0</v>
      </c>
      <c r="AO31" s="194">
        <f>AC31*VLOOKUP("Hours",'Model Assumptions'!$B$50:$O$72,6,FALSE)*$H31*$I31/168</f>
        <v>0</v>
      </c>
      <c r="AP31" s="194">
        <f>AD31*VLOOKUP("Hours",'Model Assumptions'!$B$50:$O$72,7,FALSE)*$H31*$I31/168</f>
        <v>0</v>
      </c>
      <c r="AQ31" s="194">
        <f>AE31*VLOOKUP("Hours",'Model Assumptions'!$B$50:$O$72,8,FALSE)*$H31*$I31/168</f>
        <v>0</v>
      </c>
      <c r="AR31" s="194">
        <f>AF31*VLOOKUP("Hours",'Model Assumptions'!$B$50:$O$72,9,FALSE)*$H31*$I31/168</f>
        <v>0</v>
      </c>
      <c r="AS31" s="194">
        <f>AG31*VLOOKUP("Hours",'Model Assumptions'!$B$50:$O$72,10,FALSE)*$H31*$I31/168</f>
        <v>0</v>
      </c>
      <c r="AT31" s="194">
        <f>AH31*VLOOKUP("Hours",'Model Assumptions'!$B$50:$O$72,11,FALSE)*$H31*$I31/168</f>
        <v>0</v>
      </c>
      <c r="AU31" s="194">
        <f>AI31*VLOOKUP("Hours",'Model Assumptions'!$B$50:$O$72,12,FALSE)*$H31*$I31/168</f>
        <v>0</v>
      </c>
      <c r="AV31" s="195">
        <f>AJ31*VLOOKUP("Hours",'Model Assumptions'!$B$50:$O$72,13,FALSE)*$H31*$I31/168</f>
        <v>0</v>
      </c>
      <c r="AW31" s="249">
        <f t="shared" ref="AW31:AW50" si="19">SUM(AK31:AV31)</f>
        <v>0</v>
      </c>
      <c r="AX31" s="250">
        <f t="shared" si="6"/>
        <v>0</v>
      </c>
      <c r="AZ31" s="106"/>
      <c r="BA31" s="234">
        <f t="shared" ref="BA31:BA50" si="20">K31*L31</f>
        <v>0</v>
      </c>
      <c r="BB31" s="234" t="str">
        <f>_xlfn.IFNA(BA31*INDEX('Bees Non-Electric Breakdown'!$E$20:$AQ$20,1,MATCH('Building Breakdown'!AZ31,'Bees Non-Electric Breakdown'!$E$7:$AQ$7,0)),"")</f>
        <v/>
      </c>
    </row>
    <row r="32" spans="1:55" x14ac:dyDescent="0.3">
      <c r="B32" s="106"/>
      <c r="C32" s="106"/>
      <c r="D32" s="115"/>
      <c r="E32" s="116"/>
      <c r="F32" s="116"/>
      <c r="G32" s="116"/>
      <c r="H32" s="116"/>
      <c r="I32" s="116"/>
      <c r="J32" s="116"/>
      <c r="K32" s="117"/>
      <c r="L32" s="116"/>
      <c r="M32" s="118"/>
      <c r="N32" s="125"/>
      <c r="O32" s="126"/>
      <c r="P32" s="117"/>
      <c r="Q32" s="261">
        <f>_xlfn.IFNA(VLOOKUP(D32,'Model Assumptions'!$B$15:$D$17,3,FALSE),0)</f>
        <v>0</v>
      </c>
      <c r="R32" s="270">
        <f t="shared" si="16"/>
        <v>0</v>
      </c>
      <c r="S32" s="271">
        <f t="shared" si="17"/>
        <v>0</v>
      </c>
      <c r="T32" s="271">
        <f>_xlfn.IFNA(((P32*(VLOOKUP($N32,'Model Assumptions'!$B$10:$C$12,2,FALSE)))/2)+$K32,0)</f>
        <v>0</v>
      </c>
      <c r="U32" s="272">
        <f t="shared" si="18"/>
        <v>0</v>
      </c>
      <c r="V32" s="262">
        <f>_xlfn.IFNA(INDEX('Model Assumptions'!$C$30:$F$38,MATCH('Building Breakdown'!$J32,'Model Assumptions'!$B$30:$B$38,0),MATCH('Building Breakdown'!V$22,'Model Assumptions'!$C$29:$F$29,0)),0)</f>
        <v>0</v>
      </c>
      <c r="W32" s="263">
        <f>_xlfn.IFNA(INDEX('Model Assumptions'!$C$30:$F$38,MATCH('Building Breakdown'!$J32,'Model Assumptions'!$B$30:$B$38,0),MATCH('Building Breakdown'!$N32,'Model Assumptions'!$C$29:$F$29,0)),0)</f>
        <v>0</v>
      </c>
      <c r="X32" s="264">
        <f>_xlfn.IFNA(VLOOKUP(O32,'Model Assumptions'!H$30:I$32,2,FALSE),0)</f>
        <v>0</v>
      </c>
      <c r="Y32" s="202">
        <f>(((($S32*$V32)+($T32*$W32)+($U32*$X32))*($G32-(VLOOKUP($D$7,'Model Assumptions'!$B$50:$O$72,2,FALSE))))/1000)*$E32</f>
        <v>0</v>
      </c>
      <c r="Z32" s="203">
        <f>(((($S32*$V32)+($T32*$W32)+($U32*$X32))*($G32-(VLOOKUP($D$7,'Model Assumptions'!$B$50:$O$72,3,FALSE))))/1000)*$E32</f>
        <v>0</v>
      </c>
      <c r="AA32" s="203">
        <f>(((($S32*$V32)+($T32*$W32)+($U32*$X32))*($G32-(VLOOKUP($D$7,'Model Assumptions'!$B$50:$O$72,4,FALSE))))/1000)*$E32</f>
        <v>0</v>
      </c>
      <c r="AB32" s="203">
        <f>(((($S32*$V32)+($T32*$W32)+($U32*$X32))*($G32-(VLOOKUP($D$7,'Model Assumptions'!$B$50:$O$72,5,FALSE))))/1000)*$E32</f>
        <v>0</v>
      </c>
      <c r="AC32" s="203">
        <f>(((($S32*$V32)+($T32*$W32)+($U32*$X32))*($G32-(VLOOKUP($D$7,'Model Assumptions'!$B$50:$O$72,6,FALSE))))/1000)*$E32</f>
        <v>0</v>
      </c>
      <c r="AD32" s="203">
        <f>(((($S32*$V32)+($T32*$W32)+($U32*$X32))*($G32-(VLOOKUP($D$7,'Model Assumptions'!$B$50:$O$72,7,FALSE))))/1000)*$E32</f>
        <v>0</v>
      </c>
      <c r="AE32" s="203">
        <f>(((($S32*$V32)+($T32*$W32)+($U32*$X32))*($G32-(VLOOKUP($D$7,'Model Assumptions'!$B$50:$O$72,8,FALSE))))/1000)*$E32</f>
        <v>0</v>
      </c>
      <c r="AF32" s="203">
        <f>(((($S32*$V32)+($T32*$W32)+($U32*$X32))*($G32-(VLOOKUP($D$7,'Model Assumptions'!$B$50:$O$72,9,FALSE))))/1000)*$E32</f>
        <v>0</v>
      </c>
      <c r="AG32" s="203">
        <f>(((($S32*$V32)+($T32*$W32)+($U32*$X32))*($G32-(VLOOKUP($D$7,'Model Assumptions'!$B$50:$O$72,10,FALSE))))/1000)*$E32</f>
        <v>0</v>
      </c>
      <c r="AH32" s="203">
        <f>(((($S32*$V32)+($T32*$W32)+($U32*$X32))*($G32-(VLOOKUP($D$7,'Model Assumptions'!$B$50:$O$72,11,FALSE))))/1000)*$E32</f>
        <v>0</v>
      </c>
      <c r="AI32" s="203">
        <f>(((($S32*$V32)+($T32*$W32)+($U32*$X32))*($G32-(VLOOKUP($D$7,'Model Assumptions'!$B$50:$O$72,12,FALSE))))/1000)*$E32</f>
        <v>0</v>
      </c>
      <c r="AJ32" s="204">
        <f>(((($S32*$V32)+($T32*$W32)+($U32*$X32))*($G32-(VLOOKUP($D$7,'Model Assumptions'!$B$50:$O$72,13,FALSE))))/1000)*$E32</f>
        <v>0</v>
      </c>
      <c r="AK32" s="193">
        <f>Y32*VLOOKUP("Hours",'Model Assumptions'!$B$50:$O$72,2,FALSE)*$H32*$I32/168</f>
        <v>0</v>
      </c>
      <c r="AL32" s="194">
        <f>Z32*VLOOKUP("Hours",'Model Assumptions'!$B$50:$O$72,3,FALSE)*$H32*$I32/168</f>
        <v>0</v>
      </c>
      <c r="AM32" s="194">
        <f>AA32*VLOOKUP("Hours",'Model Assumptions'!$B$50:$O$72,4,FALSE)*$H32*$I32/168</f>
        <v>0</v>
      </c>
      <c r="AN32" s="194">
        <f>AB32*VLOOKUP("Hours",'Model Assumptions'!$B$50:$O$72,5,FALSE)*$H32*$I32/168</f>
        <v>0</v>
      </c>
      <c r="AO32" s="194">
        <f>AC32*VLOOKUP("Hours",'Model Assumptions'!$B$50:$O$72,6,FALSE)*$H32*$I32/168</f>
        <v>0</v>
      </c>
      <c r="AP32" s="194">
        <f>AD32*VLOOKUP("Hours",'Model Assumptions'!$B$50:$O$72,7,FALSE)*$H32*$I32/168</f>
        <v>0</v>
      </c>
      <c r="AQ32" s="194">
        <f>AE32*VLOOKUP("Hours",'Model Assumptions'!$B$50:$O$72,8,FALSE)*$H32*$I32/168</f>
        <v>0</v>
      </c>
      <c r="AR32" s="194">
        <f>AF32*VLOOKUP("Hours",'Model Assumptions'!$B$50:$O$72,9,FALSE)*$H32*$I32/168</f>
        <v>0</v>
      </c>
      <c r="AS32" s="194">
        <f>AG32*VLOOKUP("Hours",'Model Assumptions'!$B$50:$O$72,10,FALSE)*$H32*$I32/168</f>
        <v>0</v>
      </c>
      <c r="AT32" s="194">
        <f>AH32*VLOOKUP("Hours",'Model Assumptions'!$B$50:$O$72,11,FALSE)*$H32*$I32/168</f>
        <v>0</v>
      </c>
      <c r="AU32" s="194">
        <f>AI32*VLOOKUP("Hours",'Model Assumptions'!$B$50:$O$72,12,FALSE)*$H32*$I32/168</f>
        <v>0</v>
      </c>
      <c r="AV32" s="195">
        <f>AJ32*VLOOKUP("Hours",'Model Assumptions'!$B$50:$O$72,13,FALSE)*$H32*$I32/168</f>
        <v>0</v>
      </c>
      <c r="AW32" s="249">
        <f t="shared" si="19"/>
        <v>0</v>
      </c>
      <c r="AX32" s="250">
        <f t="shared" si="6"/>
        <v>0</v>
      </c>
      <c r="AZ32" s="106"/>
      <c r="BA32" s="234">
        <f t="shared" si="20"/>
        <v>0</v>
      </c>
      <c r="BB32" s="234" t="str">
        <f>_xlfn.IFNA(BA32*INDEX('Bees Non-Electric Breakdown'!$E$20:$AQ$20,1,MATCH('Building Breakdown'!AZ32,'Bees Non-Electric Breakdown'!$E$7:$AQ$7,0)),"")</f>
        <v/>
      </c>
    </row>
    <row r="33" spans="2:54" x14ac:dyDescent="0.3">
      <c r="B33" s="106"/>
      <c r="C33" s="106"/>
      <c r="D33" s="115"/>
      <c r="E33" s="116"/>
      <c r="F33" s="116"/>
      <c r="G33" s="116"/>
      <c r="H33" s="116"/>
      <c r="I33" s="116"/>
      <c r="J33" s="116"/>
      <c r="K33" s="117"/>
      <c r="L33" s="116"/>
      <c r="M33" s="118"/>
      <c r="N33" s="125"/>
      <c r="O33" s="126"/>
      <c r="P33" s="117"/>
      <c r="Q33" s="261">
        <f>_xlfn.IFNA(VLOOKUP(D33,'Model Assumptions'!$B$15:$D$17,3,FALSE),0)</f>
        <v>0</v>
      </c>
      <c r="R33" s="270">
        <f t="shared" si="16"/>
        <v>0</v>
      </c>
      <c r="S33" s="271">
        <f t="shared" si="17"/>
        <v>0</v>
      </c>
      <c r="T33" s="271">
        <f>_xlfn.IFNA(((P33*(VLOOKUP($N33,'Model Assumptions'!$B$10:$C$12,2,FALSE)))/2)+$K33,0)</f>
        <v>0</v>
      </c>
      <c r="U33" s="272">
        <f t="shared" si="18"/>
        <v>0</v>
      </c>
      <c r="V33" s="262">
        <f>_xlfn.IFNA(INDEX('Model Assumptions'!$C$30:$F$38,MATCH('Building Breakdown'!$J33,'Model Assumptions'!$B$30:$B$38,0),MATCH('Building Breakdown'!V$22,'Model Assumptions'!$C$29:$F$29,0)),0)</f>
        <v>0</v>
      </c>
      <c r="W33" s="263">
        <f>_xlfn.IFNA(INDEX('Model Assumptions'!$C$30:$F$38,MATCH('Building Breakdown'!$J33,'Model Assumptions'!$B$30:$B$38,0),MATCH('Building Breakdown'!$N33,'Model Assumptions'!$C$29:$F$29,0)),0)</f>
        <v>0</v>
      </c>
      <c r="X33" s="264">
        <f>_xlfn.IFNA(VLOOKUP(O33,'Model Assumptions'!H$30:I$32,2,FALSE),0)</f>
        <v>0</v>
      </c>
      <c r="Y33" s="202">
        <f>(((($S33*$V33)+($T33*$W33)+($U33*$X33))*($G33-(VLOOKUP($D$7,'Model Assumptions'!$B$50:$O$72,2,FALSE))))/1000)*$E33</f>
        <v>0</v>
      </c>
      <c r="Z33" s="203">
        <f>(((($S33*$V33)+($T33*$W33)+($U33*$X33))*($G33-(VLOOKUP($D$7,'Model Assumptions'!$B$50:$O$72,3,FALSE))))/1000)*$E33</f>
        <v>0</v>
      </c>
      <c r="AA33" s="203">
        <f>(((($S33*$V33)+($T33*$W33)+($U33*$X33))*($G33-(VLOOKUP($D$7,'Model Assumptions'!$B$50:$O$72,4,FALSE))))/1000)*$E33</f>
        <v>0</v>
      </c>
      <c r="AB33" s="203">
        <f>(((($S33*$V33)+($T33*$W33)+($U33*$X33))*($G33-(VLOOKUP($D$7,'Model Assumptions'!$B$50:$O$72,5,FALSE))))/1000)*$E33</f>
        <v>0</v>
      </c>
      <c r="AC33" s="203">
        <f>(((($S33*$V33)+($T33*$W33)+($U33*$X33))*($G33-(VLOOKUP($D$7,'Model Assumptions'!$B$50:$O$72,6,FALSE))))/1000)*$E33</f>
        <v>0</v>
      </c>
      <c r="AD33" s="203">
        <f>(((($S33*$V33)+($T33*$W33)+($U33*$X33))*($G33-(VLOOKUP($D$7,'Model Assumptions'!$B$50:$O$72,7,FALSE))))/1000)*$E33</f>
        <v>0</v>
      </c>
      <c r="AE33" s="203">
        <f>(((($S33*$V33)+($T33*$W33)+($U33*$X33))*($G33-(VLOOKUP($D$7,'Model Assumptions'!$B$50:$O$72,8,FALSE))))/1000)*$E33</f>
        <v>0</v>
      </c>
      <c r="AF33" s="203">
        <f>(((($S33*$V33)+($T33*$W33)+($U33*$X33))*($G33-(VLOOKUP($D$7,'Model Assumptions'!$B$50:$O$72,9,FALSE))))/1000)*$E33</f>
        <v>0</v>
      </c>
      <c r="AG33" s="203">
        <f>(((($S33*$V33)+($T33*$W33)+($U33*$X33))*($G33-(VLOOKUP($D$7,'Model Assumptions'!$B$50:$O$72,10,FALSE))))/1000)*$E33</f>
        <v>0</v>
      </c>
      <c r="AH33" s="203">
        <f>(((($S33*$V33)+($T33*$W33)+($U33*$X33))*($G33-(VLOOKUP($D$7,'Model Assumptions'!$B$50:$O$72,11,FALSE))))/1000)*$E33</f>
        <v>0</v>
      </c>
      <c r="AI33" s="203">
        <f>(((($S33*$V33)+($T33*$W33)+($U33*$X33))*($G33-(VLOOKUP($D$7,'Model Assumptions'!$B$50:$O$72,12,FALSE))))/1000)*$E33</f>
        <v>0</v>
      </c>
      <c r="AJ33" s="204">
        <f>(((($S33*$V33)+($T33*$W33)+($U33*$X33))*($G33-(VLOOKUP($D$7,'Model Assumptions'!$B$50:$O$72,13,FALSE))))/1000)*$E33</f>
        <v>0</v>
      </c>
      <c r="AK33" s="193">
        <f>Y33*VLOOKUP("Hours",'Model Assumptions'!$B$50:$O$72,2,FALSE)*$H33*$I33/168</f>
        <v>0</v>
      </c>
      <c r="AL33" s="194">
        <f>Z33*VLOOKUP("Hours",'Model Assumptions'!$B$50:$O$72,3,FALSE)*$H33*$I33/168</f>
        <v>0</v>
      </c>
      <c r="AM33" s="194">
        <f>AA33*VLOOKUP("Hours",'Model Assumptions'!$B$50:$O$72,4,FALSE)*$H33*$I33/168</f>
        <v>0</v>
      </c>
      <c r="AN33" s="194">
        <f>AB33*VLOOKUP("Hours",'Model Assumptions'!$B$50:$O$72,5,FALSE)*$H33*$I33/168</f>
        <v>0</v>
      </c>
      <c r="AO33" s="194">
        <f>AC33*VLOOKUP("Hours",'Model Assumptions'!$B$50:$O$72,6,FALSE)*$H33*$I33/168</f>
        <v>0</v>
      </c>
      <c r="AP33" s="194">
        <f>AD33*VLOOKUP("Hours",'Model Assumptions'!$B$50:$O$72,7,FALSE)*$H33*$I33/168</f>
        <v>0</v>
      </c>
      <c r="AQ33" s="194">
        <f>AE33*VLOOKUP("Hours",'Model Assumptions'!$B$50:$O$72,8,FALSE)*$H33*$I33/168</f>
        <v>0</v>
      </c>
      <c r="AR33" s="194">
        <f>AF33*VLOOKUP("Hours",'Model Assumptions'!$B$50:$O$72,9,FALSE)*$H33*$I33/168</f>
        <v>0</v>
      </c>
      <c r="AS33" s="194">
        <f>AG33*VLOOKUP("Hours",'Model Assumptions'!$B$50:$O$72,10,FALSE)*$H33*$I33/168</f>
        <v>0</v>
      </c>
      <c r="AT33" s="194">
        <f>AH33*VLOOKUP("Hours",'Model Assumptions'!$B$50:$O$72,11,FALSE)*$H33*$I33/168</f>
        <v>0</v>
      </c>
      <c r="AU33" s="194">
        <f>AI33*VLOOKUP("Hours",'Model Assumptions'!$B$50:$O$72,12,FALSE)*$H33*$I33/168</f>
        <v>0</v>
      </c>
      <c r="AV33" s="195">
        <f>AJ33*VLOOKUP("Hours",'Model Assumptions'!$B$50:$O$72,13,FALSE)*$H33*$I33/168</f>
        <v>0</v>
      </c>
      <c r="AW33" s="249">
        <f t="shared" si="19"/>
        <v>0</v>
      </c>
      <c r="AX33" s="250">
        <f t="shared" si="6"/>
        <v>0</v>
      </c>
      <c r="AZ33" s="106"/>
      <c r="BA33" s="234">
        <f t="shared" si="20"/>
        <v>0</v>
      </c>
      <c r="BB33" s="234" t="str">
        <f>_xlfn.IFNA(BA33*INDEX('Bees Non-Electric Breakdown'!$E$20:$AQ$20,1,MATCH('Building Breakdown'!AZ33,'Bees Non-Electric Breakdown'!$E$7:$AQ$7,0)),"")</f>
        <v/>
      </c>
    </row>
    <row r="34" spans="2:54" x14ac:dyDescent="0.3">
      <c r="B34" s="106"/>
      <c r="C34" s="106"/>
      <c r="D34" s="115"/>
      <c r="E34" s="116"/>
      <c r="F34" s="116"/>
      <c r="G34" s="116"/>
      <c r="H34" s="116"/>
      <c r="I34" s="116"/>
      <c r="J34" s="116"/>
      <c r="K34" s="117"/>
      <c r="L34" s="116"/>
      <c r="M34" s="118"/>
      <c r="N34" s="125"/>
      <c r="O34" s="126"/>
      <c r="P34" s="117"/>
      <c r="Q34" s="261">
        <f>_xlfn.IFNA(VLOOKUP(D34,'Model Assumptions'!$B$15:$D$17,3,FALSE),0)</f>
        <v>0</v>
      </c>
      <c r="R34" s="270">
        <f t="shared" si="16"/>
        <v>0</v>
      </c>
      <c r="S34" s="271">
        <f t="shared" si="17"/>
        <v>0</v>
      </c>
      <c r="T34" s="271">
        <f>_xlfn.IFNA(((P34*(VLOOKUP($N34,'Model Assumptions'!$B$10:$C$12,2,FALSE)))/2)+$K34,0)</f>
        <v>0</v>
      </c>
      <c r="U34" s="272">
        <f t="shared" si="18"/>
        <v>0</v>
      </c>
      <c r="V34" s="262">
        <f>_xlfn.IFNA(INDEX('Model Assumptions'!$C$30:$F$38,MATCH('Building Breakdown'!$J34,'Model Assumptions'!$B$30:$B$38,0),MATCH('Building Breakdown'!V$22,'Model Assumptions'!$C$29:$F$29,0)),0)</f>
        <v>0</v>
      </c>
      <c r="W34" s="263">
        <f>_xlfn.IFNA(INDEX('Model Assumptions'!$C$30:$F$38,MATCH('Building Breakdown'!$J34,'Model Assumptions'!$B$30:$B$38,0),MATCH('Building Breakdown'!$N34,'Model Assumptions'!$C$29:$F$29,0)),0)</f>
        <v>0</v>
      </c>
      <c r="X34" s="264">
        <f>_xlfn.IFNA(VLOOKUP(O34,'Model Assumptions'!H$30:I$32,2,FALSE),0)</f>
        <v>0</v>
      </c>
      <c r="Y34" s="202">
        <f>(((($S34*$V34)+($T34*$W34)+($U34*$X34))*($G34-(VLOOKUP($D$7,'Model Assumptions'!$B$50:$O$72,2,FALSE))))/1000)*$E34</f>
        <v>0</v>
      </c>
      <c r="Z34" s="203">
        <f>(((($S34*$V34)+($T34*$W34)+($U34*$X34))*($G34-(VLOOKUP($D$7,'Model Assumptions'!$B$50:$O$72,3,FALSE))))/1000)*$E34</f>
        <v>0</v>
      </c>
      <c r="AA34" s="203">
        <f>(((($S34*$V34)+($T34*$W34)+($U34*$X34))*($G34-(VLOOKUP($D$7,'Model Assumptions'!$B$50:$O$72,4,FALSE))))/1000)*$E34</f>
        <v>0</v>
      </c>
      <c r="AB34" s="203">
        <f>(((($S34*$V34)+($T34*$W34)+($U34*$X34))*($G34-(VLOOKUP($D$7,'Model Assumptions'!$B$50:$O$72,5,FALSE))))/1000)*$E34</f>
        <v>0</v>
      </c>
      <c r="AC34" s="203">
        <f>(((($S34*$V34)+($T34*$W34)+($U34*$X34))*($G34-(VLOOKUP($D$7,'Model Assumptions'!$B$50:$O$72,6,FALSE))))/1000)*$E34</f>
        <v>0</v>
      </c>
      <c r="AD34" s="203">
        <f>(((($S34*$V34)+($T34*$W34)+($U34*$X34))*($G34-(VLOOKUP($D$7,'Model Assumptions'!$B$50:$O$72,7,FALSE))))/1000)*$E34</f>
        <v>0</v>
      </c>
      <c r="AE34" s="203">
        <f>(((($S34*$V34)+($T34*$W34)+($U34*$X34))*($G34-(VLOOKUP($D$7,'Model Assumptions'!$B$50:$O$72,8,FALSE))))/1000)*$E34</f>
        <v>0</v>
      </c>
      <c r="AF34" s="203">
        <f>(((($S34*$V34)+($T34*$W34)+($U34*$X34))*($G34-(VLOOKUP($D$7,'Model Assumptions'!$B$50:$O$72,9,FALSE))))/1000)*$E34</f>
        <v>0</v>
      </c>
      <c r="AG34" s="203">
        <f>(((($S34*$V34)+($T34*$W34)+($U34*$X34))*($G34-(VLOOKUP($D$7,'Model Assumptions'!$B$50:$O$72,10,FALSE))))/1000)*$E34</f>
        <v>0</v>
      </c>
      <c r="AH34" s="203">
        <f>(((($S34*$V34)+($T34*$W34)+($U34*$X34))*($G34-(VLOOKUP($D$7,'Model Assumptions'!$B$50:$O$72,11,FALSE))))/1000)*$E34</f>
        <v>0</v>
      </c>
      <c r="AI34" s="203">
        <f>(((($S34*$V34)+($T34*$W34)+($U34*$X34))*($G34-(VLOOKUP($D$7,'Model Assumptions'!$B$50:$O$72,12,FALSE))))/1000)*$E34</f>
        <v>0</v>
      </c>
      <c r="AJ34" s="204">
        <f>(((($S34*$V34)+($T34*$W34)+($U34*$X34))*($G34-(VLOOKUP($D$7,'Model Assumptions'!$B$50:$O$72,13,FALSE))))/1000)*$E34</f>
        <v>0</v>
      </c>
      <c r="AK34" s="193">
        <f>Y34*VLOOKUP("Hours",'Model Assumptions'!$B$50:$O$72,2,FALSE)*$H34*$I34/168</f>
        <v>0</v>
      </c>
      <c r="AL34" s="194">
        <f>Z34*VLOOKUP("Hours",'Model Assumptions'!$B$50:$O$72,3,FALSE)*$H34*$I34/168</f>
        <v>0</v>
      </c>
      <c r="AM34" s="194">
        <f>AA34*VLOOKUP("Hours",'Model Assumptions'!$B$50:$O$72,4,FALSE)*$H34*$I34/168</f>
        <v>0</v>
      </c>
      <c r="AN34" s="194">
        <f>AB34*VLOOKUP("Hours",'Model Assumptions'!$B$50:$O$72,5,FALSE)*$H34*$I34/168</f>
        <v>0</v>
      </c>
      <c r="AO34" s="194">
        <f>AC34*VLOOKUP("Hours",'Model Assumptions'!$B$50:$O$72,6,FALSE)*$H34*$I34/168</f>
        <v>0</v>
      </c>
      <c r="AP34" s="194">
        <f>AD34*VLOOKUP("Hours",'Model Assumptions'!$B$50:$O$72,7,FALSE)*$H34*$I34/168</f>
        <v>0</v>
      </c>
      <c r="AQ34" s="194">
        <f>AE34*VLOOKUP("Hours",'Model Assumptions'!$B$50:$O$72,8,FALSE)*$H34*$I34/168</f>
        <v>0</v>
      </c>
      <c r="AR34" s="194">
        <f>AF34*VLOOKUP("Hours",'Model Assumptions'!$B$50:$O$72,9,FALSE)*$H34*$I34/168</f>
        <v>0</v>
      </c>
      <c r="AS34" s="194">
        <f>AG34*VLOOKUP("Hours",'Model Assumptions'!$B$50:$O$72,10,FALSE)*$H34*$I34/168</f>
        <v>0</v>
      </c>
      <c r="AT34" s="194">
        <f>AH34*VLOOKUP("Hours",'Model Assumptions'!$B$50:$O$72,11,FALSE)*$H34*$I34/168</f>
        <v>0</v>
      </c>
      <c r="AU34" s="194">
        <f>AI34*VLOOKUP("Hours",'Model Assumptions'!$B$50:$O$72,12,FALSE)*$H34*$I34/168</f>
        <v>0</v>
      </c>
      <c r="AV34" s="195">
        <f>AJ34*VLOOKUP("Hours",'Model Assumptions'!$B$50:$O$72,13,FALSE)*$H34*$I34/168</f>
        <v>0</v>
      </c>
      <c r="AW34" s="249">
        <f t="shared" si="19"/>
        <v>0</v>
      </c>
      <c r="AX34" s="250">
        <f t="shared" si="6"/>
        <v>0</v>
      </c>
      <c r="AZ34" s="106"/>
      <c r="BA34" s="234">
        <f t="shared" si="20"/>
        <v>0</v>
      </c>
      <c r="BB34" s="234" t="str">
        <f>_xlfn.IFNA(BA34*INDEX('Bees Non-Electric Breakdown'!$E$20:$AQ$20,1,MATCH('Building Breakdown'!AZ34,'Bees Non-Electric Breakdown'!$E$7:$AQ$7,0)),"")</f>
        <v/>
      </c>
    </row>
    <row r="35" spans="2:54" x14ac:dyDescent="0.3">
      <c r="B35" s="106"/>
      <c r="C35" s="106"/>
      <c r="D35" s="115"/>
      <c r="E35" s="116"/>
      <c r="F35" s="116"/>
      <c r="G35" s="116"/>
      <c r="H35" s="116"/>
      <c r="I35" s="116"/>
      <c r="J35" s="116"/>
      <c r="K35" s="117"/>
      <c r="L35" s="116"/>
      <c r="M35" s="118"/>
      <c r="N35" s="125"/>
      <c r="O35" s="126"/>
      <c r="P35" s="117"/>
      <c r="Q35" s="261">
        <f>_xlfn.IFNA(VLOOKUP(D35,'Model Assumptions'!$B$15:$D$17,3,FALSE),0)</f>
        <v>0</v>
      </c>
      <c r="R35" s="270">
        <f t="shared" si="16"/>
        <v>0</v>
      </c>
      <c r="S35" s="271">
        <f t="shared" si="17"/>
        <v>0</v>
      </c>
      <c r="T35" s="271">
        <f>_xlfn.IFNA(((P35*(VLOOKUP($N35,'Model Assumptions'!$B$10:$C$12,2,FALSE)))/2)+$K35,0)</f>
        <v>0</v>
      </c>
      <c r="U35" s="272">
        <f t="shared" si="18"/>
        <v>0</v>
      </c>
      <c r="V35" s="262">
        <f>_xlfn.IFNA(INDEX('Model Assumptions'!$C$30:$F$38,MATCH('Building Breakdown'!$J35,'Model Assumptions'!$B$30:$B$38,0),MATCH('Building Breakdown'!V$22,'Model Assumptions'!$C$29:$F$29,0)),0)</f>
        <v>0</v>
      </c>
      <c r="W35" s="263">
        <f>_xlfn.IFNA(INDEX('Model Assumptions'!$C$30:$F$38,MATCH('Building Breakdown'!$J35,'Model Assumptions'!$B$30:$B$38,0),MATCH('Building Breakdown'!$N35,'Model Assumptions'!$C$29:$F$29,0)),0)</f>
        <v>0</v>
      </c>
      <c r="X35" s="264">
        <f>_xlfn.IFNA(VLOOKUP(O35,'Model Assumptions'!H$30:I$32,2,FALSE),0)</f>
        <v>0</v>
      </c>
      <c r="Y35" s="202">
        <f>(((($S35*$V35)+($T35*$W35)+($U35*$X35))*($G35-(VLOOKUP($D$7,'Model Assumptions'!$B$50:$O$72,2,FALSE))))/1000)*$E35</f>
        <v>0</v>
      </c>
      <c r="Z35" s="203">
        <f>(((($S35*$V35)+($T35*$W35)+($U35*$X35))*($G35-(VLOOKUP($D$7,'Model Assumptions'!$B$50:$O$72,3,FALSE))))/1000)*$E35</f>
        <v>0</v>
      </c>
      <c r="AA35" s="203">
        <f>(((($S35*$V35)+($T35*$W35)+($U35*$X35))*($G35-(VLOOKUP($D$7,'Model Assumptions'!$B$50:$O$72,4,FALSE))))/1000)*$E35</f>
        <v>0</v>
      </c>
      <c r="AB35" s="203">
        <f>(((($S35*$V35)+($T35*$W35)+($U35*$X35))*($G35-(VLOOKUP($D$7,'Model Assumptions'!$B$50:$O$72,5,FALSE))))/1000)*$E35</f>
        <v>0</v>
      </c>
      <c r="AC35" s="203">
        <f>(((($S35*$V35)+($T35*$W35)+($U35*$X35))*($G35-(VLOOKUP($D$7,'Model Assumptions'!$B$50:$O$72,6,FALSE))))/1000)*$E35</f>
        <v>0</v>
      </c>
      <c r="AD35" s="203">
        <f>(((($S35*$V35)+($T35*$W35)+($U35*$X35))*($G35-(VLOOKUP($D$7,'Model Assumptions'!$B$50:$O$72,7,FALSE))))/1000)*$E35</f>
        <v>0</v>
      </c>
      <c r="AE35" s="203">
        <f>(((($S35*$V35)+($T35*$W35)+($U35*$X35))*($G35-(VLOOKUP($D$7,'Model Assumptions'!$B$50:$O$72,8,FALSE))))/1000)*$E35</f>
        <v>0</v>
      </c>
      <c r="AF35" s="203">
        <f>(((($S35*$V35)+($T35*$W35)+($U35*$X35))*($G35-(VLOOKUP($D$7,'Model Assumptions'!$B$50:$O$72,9,FALSE))))/1000)*$E35</f>
        <v>0</v>
      </c>
      <c r="AG35" s="203">
        <f>(((($S35*$V35)+($T35*$W35)+($U35*$X35))*($G35-(VLOOKUP($D$7,'Model Assumptions'!$B$50:$O$72,10,FALSE))))/1000)*$E35</f>
        <v>0</v>
      </c>
      <c r="AH35" s="203">
        <f>(((($S35*$V35)+($T35*$W35)+($U35*$X35))*($G35-(VLOOKUP($D$7,'Model Assumptions'!$B$50:$O$72,11,FALSE))))/1000)*$E35</f>
        <v>0</v>
      </c>
      <c r="AI35" s="203">
        <f>(((($S35*$V35)+($T35*$W35)+($U35*$X35))*($G35-(VLOOKUP($D$7,'Model Assumptions'!$B$50:$O$72,12,FALSE))))/1000)*$E35</f>
        <v>0</v>
      </c>
      <c r="AJ35" s="204">
        <f>(((($S35*$V35)+($T35*$W35)+($U35*$X35))*($G35-(VLOOKUP($D$7,'Model Assumptions'!$B$50:$O$72,13,FALSE))))/1000)*$E35</f>
        <v>0</v>
      </c>
      <c r="AK35" s="193">
        <f>Y35*VLOOKUP("Hours",'Model Assumptions'!$B$50:$O$72,2,FALSE)*$H35*$I35/168</f>
        <v>0</v>
      </c>
      <c r="AL35" s="194">
        <f>Z35*VLOOKUP("Hours",'Model Assumptions'!$B$50:$O$72,3,FALSE)*$H35*$I35/168</f>
        <v>0</v>
      </c>
      <c r="AM35" s="194">
        <f>AA35*VLOOKUP("Hours",'Model Assumptions'!$B$50:$O$72,4,FALSE)*$H35*$I35/168</f>
        <v>0</v>
      </c>
      <c r="AN35" s="194">
        <f>AB35*VLOOKUP("Hours",'Model Assumptions'!$B$50:$O$72,5,FALSE)*$H35*$I35/168</f>
        <v>0</v>
      </c>
      <c r="AO35" s="194">
        <f>AC35*VLOOKUP("Hours",'Model Assumptions'!$B$50:$O$72,6,FALSE)*$H35*$I35/168</f>
        <v>0</v>
      </c>
      <c r="AP35" s="194">
        <f>AD35*VLOOKUP("Hours",'Model Assumptions'!$B$50:$O$72,7,FALSE)*$H35*$I35/168</f>
        <v>0</v>
      </c>
      <c r="AQ35" s="194">
        <f>AE35*VLOOKUP("Hours",'Model Assumptions'!$B$50:$O$72,8,FALSE)*$H35*$I35/168</f>
        <v>0</v>
      </c>
      <c r="AR35" s="194">
        <f>AF35*VLOOKUP("Hours",'Model Assumptions'!$B$50:$O$72,9,FALSE)*$H35*$I35/168</f>
        <v>0</v>
      </c>
      <c r="AS35" s="194">
        <f>AG35*VLOOKUP("Hours",'Model Assumptions'!$B$50:$O$72,10,FALSE)*$H35*$I35/168</f>
        <v>0</v>
      </c>
      <c r="AT35" s="194">
        <f>AH35*VLOOKUP("Hours",'Model Assumptions'!$B$50:$O$72,11,FALSE)*$H35*$I35/168</f>
        <v>0</v>
      </c>
      <c r="AU35" s="194">
        <f>AI35*VLOOKUP("Hours",'Model Assumptions'!$B$50:$O$72,12,FALSE)*$H35*$I35/168</f>
        <v>0</v>
      </c>
      <c r="AV35" s="195">
        <f>AJ35*VLOOKUP("Hours",'Model Assumptions'!$B$50:$O$72,13,FALSE)*$H35*$I35/168</f>
        <v>0</v>
      </c>
      <c r="AW35" s="249">
        <f t="shared" si="19"/>
        <v>0</v>
      </c>
      <c r="AX35" s="250">
        <f t="shared" si="6"/>
        <v>0</v>
      </c>
      <c r="AZ35" s="106"/>
      <c r="BA35" s="234">
        <f t="shared" si="20"/>
        <v>0</v>
      </c>
      <c r="BB35" s="234" t="str">
        <f>_xlfn.IFNA(BA35*INDEX('Bees Non-Electric Breakdown'!$E$20:$AQ$20,1,MATCH('Building Breakdown'!AZ35,'Bees Non-Electric Breakdown'!$E$7:$AQ$7,0)),"")</f>
        <v/>
      </c>
    </row>
    <row r="36" spans="2:54" x14ac:dyDescent="0.3">
      <c r="B36" s="106"/>
      <c r="C36" s="106"/>
      <c r="D36" s="115"/>
      <c r="E36" s="116"/>
      <c r="F36" s="116"/>
      <c r="G36" s="116"/>
      <c r="H36" s="116"/>
      <c r="I36" s="116"/>
      <c r="J36" s="116"/>
      <c r="K36" s="117"/>
      <c r="L36" s="116"/>
      <c r="M36" s="118"/>
      <c r="N36" s="125"/>
      <c r="O36" s="126"/>
      <c r="P36" s="117"/>
      <c r="Q36" s="261">
        <f>_xlfn.IFNA(VLOOKUP(D36,'Model Assumptions'!$B$15:$D$17,3,FALSE),0)</f>
        <v>0</v>
      </c>
      <c r="R36" s="270">
        <f t="shared" si="16"/>
        <v>0</v>
      </c>
      <c r="S36" s="271">
        <f t="shared" si="17"/>
        <v>0</v>
      </c>
      <c r="T36" s="271">
        <f>_xlfn.IFNA(((P36*(VLOOKUP($N36,'Model Assumptions'!$B$10:$C$12,2,FALSE)))/2)+$K36,0)</f>
        <v>0</v>
      </c>
      <c r="U36" s="272">
        <f t="shared" si="18"/>
        <v>0</v>
      </c>
      <c r="V36" s="262">
        <f>_xlfn.IFNA(INDEX('Model Assumptions'!$C$30:$F$38,MATCH('Building Breakdown'!$J36,'Model Assumptions'!$B$30:$B$38,0),MATCH('Building Breakdown'!V$22,'Model Assumptions'!$C$29:$F$29,0)),0)</f>
        <v>0</v>
      </c>
      <c r="W36" s="263">
        <f>_xlfn.IFNA(INDEX('Model Assumptions'!$C$30:$F$38,MATCH('Building Breakdown'!$J36,'Model Assumptions'!$B$30:$B$38,0),MATCH('Building Breakdown'!$N36,'Model Assumptions'!$C$29:$F$29,0)),0)</f>
        <v>0</v>
      </c>
      <c r="X36" s="264">
        <f>_xlfn.IFNA(VLOOKUP(O36,'Model Assumptions'!H$30:I$32,2,FALSE),0)</f>
        <v>0</v>
      </c>
      <c r="Y36" s="202">
        <f>(((($S36*$V36)+($T36*$W36)+($U36*$X36))*($G36-(VLOOKUP($D$7,'Model Assumptions'!$B$50:$O$72,2,FALSE))))/1000)*$E36</f>
        <v>0</v>
      </c>
      <c r="Z36" s="203">
        <f>(((($S36*$V36)+($T36*$W36)+($U36*$X36))*($G36-(VLOOKUP($D$7,'Model Assumptions'!$B$50:$O$72,3,FALSE))))/1000)*$E36</f>
        <v>0</v>
      </c>
      <c r="AA36" s="203">
        <f>(((($S36*$V36)+($T36*$W36)+($U36*$X36))*($G36-(VLOOKUP($D$7,'Model Assumptions'!$B$50:$O$72,4,FALSE))))/1000)*$E36</f>
        <v>0</v>
      </c>
      <c r="AB36" s="203">
        <f>(((($S36*$V36)+($T36*$W36)+($U36*$X36))*($G36-(VLOOKUP($D$7,'Model Assumptions'!$B$50:$O$72,5,FALSE))))/1000)*$E36</f>
        <v>0</v>
      </c>
      <c r="AC36" s="203">
        <f>(((($S36*$V36)+($T36*$W36)+($U36*$X36))*($G36-(VLOOKUP($D$7,'Model Assumptions'!$B$50:$O$72,6,FALSE))))/1000)*$E36</f>
        <v>0</v>
      </c>
      <c r="AD36" s="203">
        <f>(((($S36*$V36)+($T36*$W36)+($U36*$X36))*($G36-(VLOOKUP($D$7,'Model Assumptions'!$B$50:$O$72,7,FALSE))))/1000)*$E36</f>
        <v>0</v>
      </c>
      <c r="AE36" s="203">
        <f>(((($S36*$V36)+($T36*$W36)+($U36*$X36))*($G36-(VLOOKUP($D$7,'Model Assumptions'!$B$50:$O$72,8,FALSE))))/1000)*$E36</f>
        <v>0</v>
      </c>
      <c r="AF36" s="203">
        <f>(((($S36*$V36)+($T36*$W36)+($U36*$X36))*($G36-(VLOOKUP($D$7,'Model Assumptions'!$B$50:$O$72,9,FALSE))))/1000)*$E36</f>
        <v>0</v>
      </c>
      <c r="AG36" s="203">
        <f>(((($S36*$V36)+($T36*$W36)+($U36*$X36))*($G36-(VLOOKUP($D$7,'Model Assumptions'!$B$50:$O$72,10,FALSE))))/1000)*$E36</f>
        <v>0</v>
      </c>
      <c r="AH36" s="203">
        <f>(((($S36*$V36)+($T36*$W36)+($U36*$X36))*($G36-(VLOOKUP($D$7,'Model Assumptions'!$B$50:$O$72,11,FALSE))))/1000)*$E36</f>
        <v>0</v>
      </c>
      <c r="AI36" s="203">
        <f>(((($S36*$V36)+($T36*$W36)+($U36*$X36))*($G36-(VLOOKUP($D$7,'Model Assumptions'!$B$50:$O$72,12,FALSE))))/1000)*$E36</f>
        <v>0</v>
      </c>
      <c r="AJ36" s="204">
        <f>(((($S36*$V36)+($T36*$W36)+($U36*$X36))*($G36-(VLOOKUP($D$7,'Model Assumptions'!$B$50:$O$72,13,FALSE))))/1000)*$E36</f>
        <v>0</v>
      </c>
      <c r="AK36" s="193">
        <f>Y36*VLOOKUP("Hours",'Model Assumptions'!$B$50:$O$72,2,FALSE)*$H36*$I36/168</f>
        <v>0</v>
      </c>
      <c r="AL36" s="194">
        <f>Z36*VLOOKUP("Hours",'Model Assumptions'!$B$50:$O$72,3,FALSE)*$H36*$I36/168</f>
        <v>0</v>
      </c>
      <c r="AM36" s="194">
        <f>AA36*VLOOKUP("Hours",'Model Assumptions'!$B$50:$O$72,4,FALSE)*$H36*$I36/168</f>
        <v>0</v>
      </c>
      <c r="AN36" s="194">
        <f>AB36*VLOOKUP("Hours",'Model Assumptions'!$B$50:$O$72,5,FALSE)*$H36*$I36/168</f>
        <v>0</v>
      </c>
      <c r="AO36" s="194">
        <f>AC36*VLOOKUP("Hours",'Model Assumptions'!$B$50:$O$72,6,FALSE)*$H36*$I36/168</f>
        <v>0</v>
      </c>
      <c r="AP36" s="194">
        <f>AD36*VLOOKUP("Hours",'Model Assumptions'!$B$50:$O$72,7,FALSE)*$H36*$I36/168</f>
        <v>0</v>
      </c>
      <c r="AQ36" s="194">
        <f>AE36*VLOOKUP("Hours",'Model Assumptions'!$B$50:$O$72,8,FALSE)*$H36*$I36/168</f>
        <v>0</v>
      </c>
      <c r="AR36" s="194">
        <f>AF36*VLOOKUP("Hours",'Model Assumptions'!$B$50:$O$72,9,FALSE)*$H36*$I36/168</f>
        <v>0</v>
      </c>
      <c r="AS36" s="194">
        <f>AG36*VLOOKUP("Hours",'Model Assumptions'!$B$50:$O$72,10,FALSE)*$H36*$I36/168</f>
        <v>0</v>
      </c>
      <c r="AT36" s="194">
        <f>AH36*VLOOKUP("Hours",'Model Assumptions'!$B$50:$O$72,11,FALSE)*$H36*$I36/168</f>
        <v>0</v>
      </c>
      <c r="AU36" s="194">
        <f>AI36*VLOOKUP("Hours",'Model Assumptions'!$B$50:$O$72,12,FALSE)*$H36*$I36/168</f>
        <v>0</v>
      </c>
      <c r="AV36" s="195">
        <f>AJ36*VLOOKUP("Hours",'Model Assumptions'!$B$50:$O$72,13,FALSE)*$H36*$I36/168</f>
        <v>0</v>
      </c>
      <c r="AW36" s="249">
        <f t="shared" si="19"/>
        <v>0</v>
      </c>
      <c r="AX36" s="250">
        <f t="shared" si="6"/>
        <v>0</v>
      </c>
      <c r="AZ36" s="106"/>
      <c r="BA36" s="234">
        <f t="shared" si="20"/>
        <v>0</v>
      </c>
      <c r="BB36" s="234" t="str">
        <f>_xlfn.IFNA(BA36*INDEX('Bees Non-Electric Breakdown'!$E$20:$AQ$20,1,MATCH('Building Breakdown'!AZ36,'Bees Non-Electric Breakdown'!$E$7:$AQ$7,0)),"")</f>
        <v/>
      </c>
    </row>
    <row r="37" spans="2:54" x14ac:dyDescent="0.3">
      <c r="B37" s="106"/>
      <c r="C37" s="106"/>
      <c r="D37" s="115"/>
      <c r="E37" s="116"/>
      <c r="F37" s="116"/>
      <c r="G37" s="116"/>
      <c r="H37" s="116"/>
      <c r="I37" s="116"/>
      <c r="J37" s="116"/>
      <c r="K37" s="117"/>
      <c r="L37" s="116"/>
      <c r="M37" s="118"/>
      <c r="N37" s="125"/>
      <c r="O37" s="126"/>
      <c r="P37" s="117"/>
      <c r="Q37" s="261">
        <f>_xlfn.IFNA(VLOOKUP(D37,'Model Assumptions'!$B$15:$D$17,3,FALSE),0)</f>
        <v>0</v>
      </c>
      <c r="R37" s="270">
        <f t="shared" si="16"/>
        <v>0</v>
      </c>
      <c r="S37" s="271">
        <f t="shared" si="17"/>
        <v>0</v>
      </c>
      <c r="T37" s="271">
        <f>_xlfn.IFNA(((P37*(VLOOKUP($N37,'Model Assumptions'!$B$10:$C$12,2,FALSE)))/2)+$K37,0)</f>
        <v>0</v>
      </c>
      <c r="U37" s="272">
        <f t="shared" si="18"/>
        <v>0</v>
      </c>
      <c r="V37" s="262">
        <f>_xlfn.IFNA(INDEX('Model Assumptions'!$C$30:$F$38,MATCH('Building Breakdown'!$J37,'Model Assumptions'!$B$30:$B$38,0),MATCH('Building Breakdown'!V$22,'Model Assumptions'!$C$29:$F$29,0)),0)</f>
        <v>0</v>
      </c>
      <c r="W37" s="263">
        <f>_xlfn.IFNA(INDEX('Model Assumptions'!$C$30:$F$38,MATCH('Building Breakdown'!$J37,'Model Assumptions'!$B$30:$B$38,0),MATCH('Building Breakdown'!$N37,'Model Assumptions'!$C$29:$F$29,0)),0)</f>
        <v>0</v>
      </c>
      <c r="X37" s="264">
        <f>_xlfn.IFNA(VLOOKUP(O37,'Model Assumptions'!H$30:I$32,2,FALSE),0)</f>
        <v>0</v>
      </c>
      <c r="Y37" s="202">
        <f>(((($S37*$V37)+($T37*$W37)+($U37*$X37))*($G37-(VLOOKUP($D$7,'Model Assumptions'!$B$50:$O$72,2,FALSE))))/1000)*$E37</f>
        <v>0</v>
      </c>
      <c r="Z37" s="203">
        <f>(((($S37*$V37)+($T37*$W37)+($U37*$X37))*($G37-(VLOOKUP($D$7,'Model Assumptions'!$B$50:$O$72,3,FALSE))))/1000)*$E37</f>
        <v>0</v>
      </c>
      <c r="AA37" s="203">
        <f>(((($S37*$V37)+($T37*$W37)+($U37*$X37))*($G37-(VLOOKUP($D$7,'Model Assumptions'!$B$50:$O$72,4,FALSE))))/1000)*$E37</f>
        <v>0</v>
      </c>
      <c r="AB37" s="203">
        <f>(((($S37*$V37)+($T37*$W37)+($U37*$X37))*($G37-(VLOOKUP($D$7,'Model Assumptions'!$B$50:$O$72,5,FALSE))))/1000)*$E37</f>
        <v>0</v>
      </c>
      <c r="AC37" s="203">
        <f>(((($S37*$V37)+($T37*$W37)+($U37*$X37))*($G37-(VLOOKUP($D$7,'Model Assumptions'!$B$50:$O$72,6,FALSE))))/1000)*$E37</f>
        <v>0</v>
      </c>
      <c r="AD37" s="203">
        <f>(((($S37*$V37)+($T37*$W37)+($U37*$X37))*($G37-(VLOOKUP($D$7,'Model Assumptions'!$B$50:$O$72,7,FALSE))))/1000)*$E37</f>
        <v>0</v>
      </c>
      <c r="AE37" s="203">
        <f>(((($S37*$V37)+($T37*$W37)+($U37*$X37))*($G37-(VLOOKUP($D$7,'Model Assumptions'!$B$50:$O$72,8,FALSE))))/1000)*$E37</f>
        <v>0</v>
      </c>
      <c r="AF37" s="203">
        <f>(((($S37*$V37)+($T37*$W37)+($U37*$X37))*($G37-(VLOOKUP($D$7,'Model Assumptions'!$B$50:$O$72,9,FALSE))))/1000)*$E37</f>
        <v>0</v>
      </c>
      <c r="AG37" s="203">
        <f>(((($S37*$V37)+($T37*$W37)+($U37*$X37))*($G37-(VLOOKUP($D$7,'Model Assumptions'!$B$50:$O$72,10,FALSE))))/1000)*$E37</f>
        <v>0</v>
      </c>
      <c r="AH37" s="203">
        <f>(((($S37*$V37)+($T37*$W37)+($U37*$X37))*($G37-(VLOOKUP($D$7,'Model Assumptions'!$B$50:$O$72,11,FALSE))))/1000)*$E37</f>
        <v>0</v>
      </c>
      <c r="AI37" s="203">
        <f>(((($S37*$V37)+($T37*$W37)+($U37*$X37))*($G37-(VLOOKUP($D$7,'Model Assumptions'!$B$50:$O$72,12,FALSE))))/1000)*$E37</f>
        <v>0</v>
      </c>
      <c r="AJ37" s="204">
        <f>(((($S37*$V37)+($T37*$W37)+($U37*$X37))*($G37-(VLOOKUP($D$7,'Model Assumptions'!$B$50:$O$72,13,FALSE))))/1000)*$E37</f>
        <v>0</v>
      </c>
      <c r="AK37" s="193">
        <f>Y37*VLOOKUP("Hours",'Model Assumptions'!$B$50:$O$72,2,FALSE)*$H37*$I37/168</f>
        <v>0</v>
      </c>
      <c r="AL37" s="194">
        <f>Z37*VLOOKUP("Hours",'Model Assumptions'!$B$50:$O$72,3,FALSE)*$H37*$I37/168</f>
        <v>0</v>
      </c>
      <c r="AM37" s="194">
        <f>AA37*VLOOKUP("Hours",'Model Assumptions'!$B$50:$O$72,4,FALSE)*$H37*$I37/168</f>
        <v>0</v>
      </c>
      <c r="AN37" s="194">
        <f>AB37*VLOOKUP("Hours",'Model Assumptions'!$B$50:$O$72,5,FALSE)*$H37*$I37/168</f>
        <v>0</v>
      </c>
      <c r="AO37" s="194">
        <f>AC37*VLOOKUP("Hours",'Model Assumptions'!$B$50:$O$72,6,FALSE)*$H37*$I37/168</f>
        <v>0</v>
      </c>
      <c r="AP37" s="194">
        <f>AD37*VLOOKUP("Hours",'Model Assumptions'!$B$50:$O$72,7,FALSE)*$H37*$I37/168</f>
        <v>0</v>
      </c>
      <c r="AQ37" s="194">
        <f>AE37*VLOOKUP("Hours",'Model Assumptions'!$B$50:$O$72,8,FALSE)*$H37*$I37/168</f>
        <v>0</v>
      </c>
      <c r="AR37" s="194">
        <f>AF37*VLOOKUP("Hours",'Model Assumptions'!$B$50:$O$72,9,FALSE)*$H37*$I37/168</f>
        <v>0</v>
      </c>
      <c r="AS37" s="194">
        <f>AG37*VLOOKUP("Hours",'Model Assumptions'!$B$50:$O$72,10,FALSE)*$H37*$I37/168</f>
        <v>0</v>
      </c>
      <c r="AT37" s="194">
        <f>AH37*VLOOKUP("Hours",'Model Assumptions'!$B$50:$O$72,11,FALSE)*$H37*$I37/168</f>
        <v>0</v>
      </c>
      <c r="AU37" s="194">
        <f>AI37*VLOOKUP("Hours",'Model Assumptions'!$B$50:$O$72,12,FALSE)*$H37*$I37/168</f>
        <v>0</v>
      </c>
      <c r="AV37" s="195">
        <f>AJ37*VLOOKUP("Hours",'Model Assumptions'!$B$50:$O$72,13,FALSE)*$H37*$I37/168</f>
        <v>0</v>
      </c>
      <c r="AW37" s="249">
        <f t="shared" si="19"/>
        <v>0</v>
      </c>
      <c r="AX37" s="250">
        <f t="shared" si="6"/>
        <v>0</v>
      </c>
      <c r="AZ37" s="106"/>
      <c r="BA37" s="234">
        <f t="shared" si="20"/>
        <v>0</v>
      </c>
      <c r="BB37" s="234" t="str">
        <f>_xlfn.IFNA(BA37*INDEX('Bees Non-Electric Breakdown'!$E$20:$AQ$20,1,MATCH('Building Breakdown'!AZ37,'Bees Non-Electric Breakdown'!$E$7:$AQ$7,0)),"")</f>
        <v/>
      </c>
    </row>
    <row r="38" spans="2:54" x14ac:dyDescent="0.3">
      <c r="B38" s="106"/>
      <c r="C38" s="106"/>
      <c r="D38" s="115"/>
      <c r="E38" s="116"/>
      <c r="F38" s="116"/>
      <c r="G38" s="116"/>
      <c r="H38" s="116"/>
      <c r="I38" s="116"/>
      <c r="J38" s="116"/>
      <c r="K38" s="117"/>
      <c r="L38" s="116"/>
      <c r="M38" s="118"/>
      <c r="N38" s="125"/>
      <c r="O38" s="126"/>
      <c r="P38" s="117"/>
      <c r="Q38" s="261">
        <f>_xlfn.IFNA(VLOOKUP(D38,'Model Assumptions'!$B$15:$D$17,3,FALSE),0)</f>
        <v>0</v>
      </c>
      <c r="R38" s="270">
        <f t="shared" si="16"/>
        <v>0</v>
      </c>
      <c r="S38" s="271">
        <f t="shared" si="17"/>
        <v>0</v>
      </c>
      <c r="T38" s="271">
        <f>_xlfn.IFNA(((P38*(VLOOKUP($N38,'Model Assumptions'!$B$10:$C$12,2,FALSE)))/2)+$K38,0)</f>
        <v>0</v>
      </c>
      <c r="U38" s="272">
        <f t="shared" si="18"/>
        <v>0</v>
      </c>
      <c r="V38" s="262">
        <f>_xlfn.IFNA(INDEX('Model Assumptions'!$C$30:$F$38,MATCH('Building Breakdown'!$J38,'Model Assumptions'!$B$30:$B$38,0),MATCH('Building Breakdown'!V$22,'Model Assumptions'!$C$29:$F$29,0)),0)</f>
        <v>0</v>
      </c>
      <c r="W38" s="263">
        <f>_xlfn.IFNA(INDEX('Model Assumptions'!$C$30:$F$38,MATCH('Building Breakdown'!$J38,'Model Assumptions'!$B$30:$B$38,0),MATCH('Building Breakdown'!$N38,'Model Assumptions'!$C$29:$F$29,0)),0)</f>
        <v>0</v>
      </c>
      <c r="X38" s="264">
        <f>_xlfn.IFNA(VLOOKUP(O38,'Model Assumptions'!H$30:I$32,2,FALSE),0)</f>
        <v>0</v>
      </c>
      <c r="Y38" s="202">
        <f>(((($S38*$V38)+($T38*$W38)+($U38*$X38))*($G38-(VLOOKUP($D$7,'Model Assumptions'!$B$50:$O$72,2,FALSE))))/1000)*$E38</f>
        <v>0</v>
      </c>
      <c r="Z38" s="203">
        <f>(((($S38*$V38)+($T38*$W38)+($U38*$X38))*($G38-(VLOOKUP($D$7,'Model Assumptions'!$B$50:$O$72,3,FALSE))))/1000)*$E38</f>
        <v>0</v>
      </c>
      <c r="AA38" s="203">
        <f>(((($S38*$V38)+($T38*$W38)+($U38*$X38))*($G38-(VLOOKUP($D$7,'Model Assumptions'!$B$50:$O$72,4,FALSE))))/1000)*$E38</f>
        <v>0</v>
      </c>
      <c r="AB38" s="203">
        <f>(((($S38*$V38)+($T38*$W38)+($U38*$X38))*($G38-(VLOOKUP($D$7,'Model Assumptions'!$B$50:$O$72,5,FALSE))))/1000)*$E38</f>
        <v>0</v>
      </c>
      <c r="AC38" s="203">
        <f>(((($S38*$V38)+($T38*$W38)+($U38*$X38))*($G38-(VLOOKUP($D$7,'Model Assumptions'!$B$50:$O$72,6,FALSE))))/1000)*$E38</f>
        <v>0</v>
      </c>
      <c r="AD38" s="203">
        <f>(((($S38*$V38)+($T38*$W38)+($U38*$X38))*($G38-(VLOOKUP($D$7,'Model Assumptions'!$B$50:$O$72,7,FALSE))))/1000)*$E38</f>
        <v>0</v>
      </c>
      <c r="AE38" s="203">
        <f>(((($S38*$V38)+($T38*$W38)+($U38*$X38))*($G38-(VLOOKUP($D$7,'Model Assumptions'!$B$50:$O$72,8,FALSE))))/1000)*$E38</f>
        <v>0</v>
      </c>
      <c r="AF38" s="203">
        <f>(((($S38*$V38)+($T38*$W38)+($U38*$X38))*($G38-(VLOOKUP($D$7,'Model Assumptions'!$B$50:$O$72,9,FALSE))))/1000)*$E38</f>
        <v>0</v>
      </c>
      <c r="AG38" s="203">
        <f>(((($S38*$V38)+($T38*$W38)+($U38*$X38))*($G38-(VLOOKUP($D$7,'Model Assumptions'!$B$50:$O$72,10,FALSE))))/1000)*$E38</f>
        <v>0</v>
      </c>
      <c r="AH38" s="203">
        <f>(((($S38*$V38)+($T38*$W38)+($U38*$X38))*($G38-(VLOOKUP($D$7,'Model Assumptions'!$B$50:$O$72,11,FALSE))))/1000)*$E38</f>
        <v>0</v>
      </c>
      <c r="AI38" s="203">
        <f>(((($S38*$V38)+($T38*$W38)+($U38*$X38))*($G38-(VLOOKUP($D$7,'Model Assumptions'!$B$50:$O$72,12,FALSE))))/1000)*$E38</f>
        <v>0</v>
      </c>
      <c r="AJ38" s="204">
        <f>(((($S38*$V38)+($T38*$W38)+($U38*$X38))*($G38-(VLOOKUP($D$7,'Model Assumptions'!$B$50:$O$72,13,FALSE))))/1000)*$E38</f>
        <v>0</v>
      </c>
      <c r="AK38" s="193">
        <f>Y38*VLOOKUP("Hours",'Model Assumptions'!$B$50:$O$72,2,FALSE)*$H38*$I38/168</f>
        <v>0</v>
      </c>
      <c r="AL38" s="194">
        <f>Z38*VLOOKUP("Hours",'Model Assumptions'!$B$50:$O$72,3,FALSE)*$H38*$I38/168</f>
        <v>0</v>
      </c>
      <c r="AM38" s="194">
        <f>AA38*VLOOKUP("Hours",'Model Assumptions'!$B$50:$O$72,4,FALSE)*$H38*$I38/168</f>
        <v>0</v>
      </c>
      <c r="AN38" s="194">
        <f>AB38*VLOOKUP("Hours",'Model Assumptions'!$B$50:$O$72,5,FALSE)*$H38*$I38/168</f>
        <v>0</v>
      </c>
      <c r="AO38" s="194">
        <f>AC38*VLOOKUP("Hours",'Model Assumptions'!$B$50:$O$72,6,FALSE)*$H38*$I38/168</f>
        <v>0</v>
      </c>
      <c r="AP38" s="194">
        <f>AD38*VLOOKUP("Hours",'Model Assumptions'!$B$50:$O$72,7,FALSE)*$H38*$I38/168</f>
        <v>0</v>
      </c>
      <c r="AQ38" s="194">
        <f>AE38*VLOOKUP("Hours",'Model Assumptions'!$B$50:$O$72,8,FALSE)*$H38*$I38/168</f>
        <v>0</v>
      </c>
      <c r="AR38" s="194">
        <f>AF38*VLOOKUP("Hours",'Model Assumptions'!$B$50:$O$72,9,FALSE)*$H38*$I38/168</f>
        <v>0</v>
      </c>
      <c r="AS38" s="194">
        <f>AG38*VLOOKUP("Hours",'Model Assumptions'!$B$50:$O$72,10,FALSE)*$H38*$I38/168</f>
        <v>0</v>
      </c>
      <c r="AT38" s="194">
        <f>AH38*VLOOKUP("Hours",'Model Assumptions'!$B$50:$O$72,11,FALSE)*$H38*$I38/168</f>
        <v>0</v>
      </c>
      <c r="AU38" s="194">
        <f>AI38*VLOOKUP("Hours",'Model Assumptions'!$B$50:$O$72,12,FALSE)*$H38*$I38/168</f>
        <v>0</v>
      </c>
      <c r="AV38" s="195">
        <f>AJ38*VLOOKUP("Hours",'Model Assumptions'!$B$50:$O$72,13,FALSE)*$H38*$I38/168</f>
        <v>0</v>
      </c>
      <c r="AW38" s="249">
        <f t="shared" si="19"/>
        <v>0</v>
      </c>
      <c r="AX38" s="250">
        <f t="shared" si="6"/>
        <v>0</v>
      </c>
      <c r="AZ38" s="106"/>
      <c r="BA38" s="234">
        <f t="shared" si="20"/>
        <v>0</v>
      </c>
      <c r="BB38" s="234" t="str">
        <f>_xlfn.IFNA(BA38*INDEX('Bees Non-Electric Breakdown'!$E$20:$AQ$20,1,MATCH('Building Breakdown'!AZ38,'Bees Non-Electric Breakdown'!$E$7:$AQ$7,0)),"")</f>
        <v/>
      </c>
    </row>
    <row r="39" spans="2:54" x14ac:dyDescent="0.3">
      <c r="B39" s="106"/>
      <c r="C39" s="106"/>
      <c r="D39" s="115"/>
      <c r="E39" s="116"/>
      <c r="F39" s="116"/>
      <c r="G39" s="116"/>
      <c r="H39" s="116"/>
      <c r="I39" s="116"/>
      <c r="J39" s="116"/>
      <c r="K39" s="117"/>
      <c r="L39" s="116"/>
      <c r="M39" s="118"/>
      <c r="N39" s="125"/>
      <c r="O39" s="126"/>
      <c r="P39" s="117"/>
      <c r="Q39" s="261">
        <f>_xlfn.IFNA(VLOOKUP(D39,'Model Assumptions'!$B$15:$D$17,3,FALSE),0)</f>
        <v>0</v>
      </c>
      <c r="R39" s="270">
        <f t="shared" si="16"/>
        <v>0</v>
      </c>
      <c r="S39" s="271">
        <f t="shared" si="17"/>
        <v>0</v>
      </c>
      <c r="T39" s="271">
        <f>_xlfn.IFNA(((P39*(VLOOKUP($N39,'Model Assumptions'!$B$10:$C$12,2,FALSE)))/2)+$K39,0)</f>
        <v>0</v>
      </c>
      <c r="U39" s="272">
        <f t="shared" si="18"/>
        <v>0</v>
      </c>
      <c r="V39" s="262">
        <f>_xlfn.IFNA(INDEX('Model Assumptions'!$C$30:$F$38,MATCH('Building Breakdown'!$J39,'Model Assumptions'!$B$30:$B$38,0),MATCH('Building Breakdown'!V$22,'Model Assumptions'!$C$29:$F$29,0)),0)</f>
        <v>0</v>
      </c>
      <c r="W39" s="263">
        <f>_xlfn.IFNA(INDEX('Model Assumptions'!$C$30:$F$38,MATCH('Building Breakdown'!$J39,'Model Assumptions'!$B$30:$B$38,0),MATCH('Building Breakdown'!$N39,'Model Assumptions'!$C$29:$F$29,0)),0)</f>
        <v>0</v>
      </c>
      <c r="X39" s="264">
        <f>_xlfn.IFNA(VLOOKUP(O39,'Model Assumptions'!H$30:I$32,2,FALSE),0)</f>
        <v>0</v>
      </c>
      <c r="Y39" s="202">
        <f>(((($S39*$V39)+($T39*$W39)+($U39*$X39))*($G39-(VLOOKUP($D$7,'Model Assumptions'!$B$50:$O$72,2,FALSE))))/1000)*$E39</f>
        <v>0</v>
      </c>
      <c r="Z39" s="203">
        <f>(((($S39*$V39)+($T39*$W39)+($U39*$X39))*($G39-(VLOOKUP($D$7,'Model Assumptions'!$B$50:$O$72,3,FALSE))))/1000)*$E39</f>
        <v>0</v>
      </c>
      <c r="AA39" s="203">
        <f>(((($S39*$V39)+($T39*$W39)+($U39*$X39))*($G39-(VLOOKUP($D$7,'Model Assumptions'!$B$50:$O$72,4,FALSE))))/1000)*$E39</f>
        <v>0</v>
      </c>
      <c r="AB39" s="203">
        <f>(((($S39*$V39)+($T39*$W39)+($U39*$X39))*($G39-(VLOOKUP($D$7,'Model Assumptions'!$B$50:$O$72,5,FALSE))))/1000)*$E39</f>
        <v>0</v>
      </c>
      <c r="AC39" s="203">
        <f>(((($S39*$V39)+($T39*$W39)+($U39*$X39))*($G39-(VLOOKUP($D$7,'Model Assumptions'!$B$50:$O$72,6,FALSE))))/1000)*$E39</f>
        <v>0</v>
      </c>
      <c r="AD39" s="203">
        <f>(((($S39*$V39)+($T39*$W39)+($U39*$X39))*($G39-(VLOOKUP($D$7,'Model Assumptions'!$B$50:$O$72,7,FALSE))))/1000)*$E39</f>
        <v>0</v>
      </c>
      <c r="AE39" s="203">
        <f>(((($S39*$V39)+($T39*$W39)+($U39*$X39))*($G39-(VLOOKUP($D$7,'Model Assumptions'!$B$50:$O$72,8,FALSE))))/1000)*$E39</f>
        <v>0</v>
      </c>
      <c r="AF39" s="203">
        <f>(((($S39*$V39)+($T39*$W39)+($U39*$X39))*($G39-(VLOOKUP($D$7,'Model Assumptions'!$B$50:$O$72,9,FALSE))))/1000)*$E39</f>
        <v>0</v>
      </c>
      <c r="AG39" s="203">
        <f>(((($S39*$V39)+($T39*$W39)+($U39*$X39))*($G39-(VLOOKUP($D$7,'Model Assumptions'!$B$50:$O$72,10,FALSE))))/1000)*$E39</f>
        <v>0</v>
      </c>
      <c r="AH39" s="203">
        <f>(((($S39*$V39)+($T39*$W39)+($U39*$X39))*($G39-(VLOOKUP($D$7,'Model Assumptions'!$B$50:$O$72,11,FALSE))))/1000)*$E39</f>
        <v>0</v>
      </c>
      <c r="AI39" s="203">
        <f>(((($S39*$V39)+($T39*$W39)+($U39*$X39))*($G39-(VLOOKUP($D$7,'Model Assumptions'!$B$50:$O$72,12,FALSE))))/1000)*$E39</f>
        <v>0</v>
      </c>
      <c r="AJ39" s="204">
        <f>(((($S39*$V39)+($T39*$W39)+($U39*$X39))*($G39-(VLOOKUP($D$7,'Model Assumptions'!$B$50:$O$72,13,FALSE))))/1000)*$E39</f>
        <v>0</v>
      </c>
      <c r="AK39" s="193">
        <f>Y39*VLOOKUP("Hours",'Model Assumptions'!$B$50:$O$72,2,FALSE)*$H39*$I39/168</f>
        <v>0</v>
      </c>
      <c r="AL39" s="194">
        <f>Z39*VLOOKUP("Hours",'Model Assumptions'!$B$50:$O$72,3,FALSE)*$H39*$I39/168</f>
        <v>0</v>
      </c>
      <c r="AM39" s="194">
        <f>AA39*VLOOKUP("Hours",'Model Assumptions'!$B$50:$O$72,4,FALSE)*$H39*$I39/168</f>
        <v>0</v>
      </c>
      <c r="AN39" s="194">
        <f>AB39*VLOOKUP("Hours",'Model Assumptions'!$B$50:$O$72,5,FALSE)*$H39*$I39/168</f>
        <v>0</v>
      </c>
      <c r="AO39" s="194">
        <f>AC39*VLOOKUP("Hours",'Model Assumptions'!$B$50:$O$72,6,FALSE)*$H39*$I39/168</f>
        <v>0</v>
      </c>
      <c r="AP39" s="194">
        <f>AD39*VLOOKUP("Hours",'Model Assumptions'!$B$50:$O$72,7,FALSE)*$H39*$I39/168</f>
        <v>0</v>
      </c>
      <c r="AQ39" s="194">
        <f>AE39*VLOOKUP("Hours",'Model Assumptions'!$B$50:$O$72,8,FALSE)*$H39*$I39/168</f>
        <v>0</v>
      </c>
      <c r="AR39" s="194">
        <f>AF39*VLOOKUP("Hours",'Model Assumptions'!$B$50:$O$72,9,FALSE)*$H39*$I39/168</f>
        <v>0</v>
      </c>
      <c r="AS39" s="194">
        <f>AG39*VLOOKUP("Hours",'Model Assumptions'!$B$50:$O$72,10,FALSE)*$H39*$I39/168</f>
        <v>0</v>
      </c>
      <c r="AT39" s="194">
        <f>AH39*VLOOKUP("Hours",'Model Assumptions'!$B$50:$O$72,11,FALSE)*$H39*$I39/168</f>
        <v>0</v>
      </c>
      <c r="AU39" s="194">
        <f>AI39*VLOOKUP("Hours",'Model Assumptions'!$B$50:$O$72,12,FALSE)*$H39*$I39/168</f>
        <v>0</v>
      </c>
      <c r="AV39" s="195">
        <f>AJ39*VLOOKUP("Hours",'Model Assumptions'!$B$50:$O$72,13,FALSE)*$H39*$I39/168</f>
        <v>0</v>
      </c>
      <c r="AW39" s="249">
        <f t="shared" si="19"/>
        <v>0</v>
      </c>
      <c r="AX39" s="250">
        <f t="shared" si="6"/>
        <v>0</v>
      </c>
      <c r="AZ39" s="106"/>
      <c r="BA39" s="234">
        <f t="shared" si="20"/>
        <v>0</v>
      </c>
      <c r="BB39" s="234" t="str">
        <f>_xlfn.IFNA(BA39*INDEX('Bees Non-Electric Breakdown'!$E$20:$AQ$20,1,MATCH('Building Breakdown'!AZ39,'Bees Non-Electric Breakdown'!$E$7:$AQ$7,0)),"")</f>
        <v/>
      </c>
    </row>
    <row r="40" spans="2:54" x14ac:dyDescent="0.3">
      <c r="B40" s="106"/>
      <c r="C40" s="106"/>
      <c r="D40" s="115"/>
      <c r="E40" s="116"/>
      <c r="F40" s="116"/>
      <c r="G40" s="116"/>
      <c r="H40" s="116"/>
      <c r="I40" s="116"/>
      <c r="J40" s="116"/>
      <c r="K40" s="117"/>
      <c r="L40" s="116"/>
      <c r="M40" s="118"/>
      <c r="N40" s="125"/>
      <c r="O40" s="126"/>
      <c r="P40" s="117"/>
      <c r="Q40" s="261">
        <f>_xlfn.IFNA(VLOOKUP(D40,'Model Assumptions'!$B$15:$D$17,3,FALSE),0)</f>
        <v>0</v>
      </c>
      <c r="R40" s="270">
        <f t="shared" si="16"/>
        <v>0</v>
      </c>
      <c r="S40" s="271">
        <f t="shared" si="17"/>
        <v>0</v>
      </c>
      <c r="T40" s="271">
        <f>_xlfn.IFNA(((P40*(VLOOKUP($N40,'Model Assumptions'!$B$10:$C$12,2,FALSE)))/2)+$K40,0)</f>
        <v>0</v>
      </c>
      <c r="U40" s="272">
        <f t="shared" si="18"/>
        <v>0</v>
      </c>
      <c r="V40" s="262">
        <f>_xlfn.IFNA(INDEX('Model Assumptions'!$C$30:$F$38,MATCH('Building Breakdown'!$J40,'Model Assumptions'!$B$30:$B$38,0),MATCH('Building Breakdown'!V$22,'Model Assumptions'!$C$29:$F$29,0)),0)</f>
        <v>0</v>
      </c>
      <c r="W40" s="263">
        <f>_xlfn.IFNA(INDEX('Model Assumptions'!$C$30:$F$38,MATCH('Building Breakdown'!$J40,'Model Assumptions'!$B$30:$B$38,0),MATCH('Building Breakdown'!$N40,'Model Assumptions'!$C$29:$F$29,0)),0)</f>
        <v>0</v>
      </c>
      <c r="X40" s="264">
        <f>_xlfn.IFNA(VLOOKUP(O40,'Model Assumptions'!H$30:I$32,2,FALSE),0)</f>
        <v>0</v>
      </c>
      <c r="Y40" s="202">
        <f>(((($S40*$V40)+($T40*$W40)+($U40*$X40))*($G40-(VLOOKUP($D$7,'Model Assumptions'!$B$50:$O$72,2,FALSE))))/1000)*$E40</f>
        <v>0</v>
      </c>
      <c r="Z40" s="203">
        <f>(((($S40*$V40)+($T40*$W40)+($U40*$X40))*($G40-(VLOOKUP($D$7,'Model Assumptions'!$B$50:$O$72,3,FALSE))))/1000)*$E40</f>
        <v>0</v>
      </c>
      <c r="AA40" s="203">
        <f>(((($S40*$V40)+($T40*$W40)+($U40*$X40))*($G40-(VLOOKUP($D$7,'Model Assumptions'!$B$50:$O$72,4,FALSE))))/1000)*$E40</f>
        <v>0</v>
      </c>
      <c r="AB40" s="203">
        <f>(((($S40*$V40)+($T40*$W40)+($U40*$X40))*($G40-(VLOOKUP($D$7,'Model Assumptions'!$B$50:$O$72,5,FALSE))))/1000)*$E40</f>
        <v>0</v>
      </c>
      <c r="AC40" s="203">
        <f>(((($S40*$V40)+($T40*$W40)+($U40*$X40))*($G40-(VLOOKUP($D$7,'Model Assumptions'!$B$50:$O$72,6,FALSE))))/1000)*$E40</f>
        <v>0</v>
      </c>
      <c r="AD40" s="203">
        <f>(((($S40*$V40)+($T40*$W40)+($U40*$X40))*($G40-(VLOOKUP($D$7,'Model Assumptions'!$B$50:$O$72,7,FALSE))))/1000)*$E40</f>
        <v>0</v>
      </c>
      <c r="AE40" s="203">
        <f>(((($S40*$V40)+($T40*$W40)+($U40*$X40))*($G40-(VLOOKUP($D$7,'Model Assumptions'!$B$50:$O$72,8,FALSE))))/1000)*$E40</f>
        <v>0</v>
      </c>
      <c r="AF40" s="203">
        <f>(((($S40*$V40)+($T40*$W40)+($U40*$X40))*($G40-(VLOOKUP($D$7,'Model Assumptions'!$B$50:$O$72,9,FALSE))))/1000)*$E40</f>
        <v>0</v>
      </c>
      <c r="AG40" s="203">
        <f>(((($S40*$V40)+($T40*$W40)+($U40*$X40))*($G40-(VLOOKUP($D$7,'Model Assumptions'!$B$50:$O$72,10,FALSE))))/1000)*$E40</f>
        <v>0</v>
      </c>
      <c r="AH40" s="203">
        <f>(((($S40*$V40)+($T40*$W40)+($U40*$X40))*($G40-(VLOOKUP($D$7,'Model Assumptions'!$B$50:$O$72,11,FALSE))))/1000)*$E40</f>
        <v>0</v>
      </c>
      <c r="AI40" s="203">
        <f>(((($S40*$V40)+($T40*$W40)+($U40*$X40))*($G40-(VLOOKUP($D$7,'Model Assumptions'!$B$50:$O$72,12,FALSE))))/1000)*$E40</f>
        <v>0</v>
      </c>
      <c r="AJ40" s="204">
        <f>(((($S40*$V40)+($T40*$W40)+($U40*$X40))*($G40-(VLOOKUP($D$7,'Model Assumptions'!$B$50:$O$72,13,FALSE))))/1000)*$E40</f>
        <v>0</v>
      </c>
      <c r="AK40" s="193">
        <f>Y40*VLOOKUP("Hours",'Model Assumptions'!$B$50:$O$72,2,FALSE)*$H40*$I40/168</f>
        <v>0</v>
      </c>
      <c r="AL40" s="194">
        <f>Z40*VLOOKUP("Hours",'Model Assumptions'!$B$50:$O$72,3,FALSE)*$H40*$I40/168</f>
        <v>0</v>
      </c>
      <c r="AM40" s="194">
        <f>AA40*VLOOKUP("Hours",'Model Assumptions'!$B$50:$O$72,4,FALSE)*$H40*$I40/168</f>
        <v>0</v>
      </c>
      <c r="AN40" s="194">
        <f>AB40*VLOOKUP("Hours",'Model Assumptions'!$B$50:$O$72,5,FALSE)*$H40*$I40/168</f>
        <v>0</v>
      </c>
      <c r="AO40" s="194">
        <f>AC40*VLOOKUP("Hours",'Model Assumptions'!$B$50:$O$72,6,FALSE)*$H40*$I40/168</f>
        <v>0</v>
      </c>
      <c r="AP40" s="194">
        <f>AD40*VLOOKUP("Hours",'Model Assumptions'!$B$50:$O$72,7,FALSE)*$H40*$I40/168</f>
        <v>0</v>
      </c>
      <c r="AQ40" s="194">
        <f>AE40*VLOOKUP("Hours",'Model Assumptions'!$B$50:$O$72,8,FALSE)*$H40*$I40/168</f>
        <v>0</v>
      </c>
      <c r="AR40" s="194">
        <f>AF40*VLOOKUP("Hours",'Model Assumptions'!$B$50:$O$72,9,FALSE)*$H40*$I40/168</f>
        <v>0</v>
      </c>
      <c r="AS40" s="194">
        <f>AG40*VLOOKUP("Hours",'Model Assumptions'!$B$50:$O$72,10,FALSE)*$H40*$I40/168</f>
        <v>0</v>
      </c>
      <c r="AT40" s="194">
        <f>AH40*VLOOKUP("Hours",'Model Assumptions'!$B$50:$O$72,11,FALSE)*$H40*$I40/168</f>
        <v>0</v>
      </c>
      <c r="AU40" s="194">
        <f>AI40*VLOOKUP("Hours",'Model Assumptions'!$B$50:$O$72,12,FALSE)*$H40*$I40/168</f>
        <v>0</v>
      </c>
      <c r="AV40" s="195">
        <f>AJ40*VLOOKUP("Hours",'Model Assumptions'!$B$50:$O$72,13,FALSE)*$H40*$I40/168</f>
        <v>0</v>
      </c>
      <c r="AW40" s="249">
        <f t="shared" si="19"/>
        <v>0</v>
      </c>
      <c r="AX40" s="250">
        <f t="shared" si="6"/>
        <v>0</v>
      </c>
      <c r="AZ40" s="106"/>
      <c r="BA40" s="234">
        <f t="shared" si="20"/>
        <v>0</v>
      </c>
      <c r="BB40" s="234" t="str">
        <f>_xlfn.IFNA(BA40*INDEX('Bees Non-Electric Breakdown'!$E$20:$AQ$20,1,MATCH('Building Breakdown'!AZ40,'Bees Non-Electric Breakdown'!$E$7:$AQ$7,0)),"")</f>
        <v/>
      </c>
    </row>
    <row r="41" spans="2:54" x14ac:dyDescent="0.3">
      <c r="B41" s="106"/>
      <c r="C41" s="106"/>
      <c r="D41" s="115"/>
      <c r="E41" s="116"/>
      <c r="F41" s="116"/>
      <c r="G41" s="116"/>
      <c r="H41" s="116"/>
      <c r="I41" s="116"/>
      <c r="J41" s="116"/>
      <c r="K41" s="117"/>
      <c r="L41" s="116"/>
      <c r="M41" s="118"/>
      <c r="N41" s="125"/>
      <c r="O41" s="126"/>
      <c r="P41" s="117"/>
      <c r="Q41" s="261">
        <f>_xlfn.IFNA(VLOOKUP(D41,'Model Assumptions'!$B$15:$D$17,3,FALSE),0)</f>
        <v>0</v>
      </c>
      <c r="R41" s="270">
        <f t="shared" si="16"/>
        <v>0</v>
      </c>
      <c r="S41" s="271">
        <f t="shared" si="17"/>
        <v>0</v>
      </c>
      <c r="T41" s="271">
        <f>_xlfn.IFNA(((P41*(VLOOKUP($N41,'Model Assumptions'!$B$10:$C$12,2,FALSE)))/2)+$K41,0)</f>
        <v>0</v>
      </c>
      <c r="U41" s="272">
        <f t="shared" si="18"/>
        <v>0</v>
      </c>
      <c r="V41" s="262">
        <f>_xlfn.IFNA(INDEX('Model Assumptions'!$C$30:$F$38,MATCH('Building Breakdown'!$J41,'Model Assumptions'!$B$30:$B$38,0),MATCH('Building Breakdown'!V$22,'Model Assumptions'!$C$29:$F$29,0)),0)</f>
        <v>0</v>
      </c>
      <c r="W41" s="263">
        <f>_xlfn.IFNA(INDEX('Model Assumptions'!$C$30:$F$38,MATCH('Building Breakdown'!$J41,'Model Assumptions'!$B$30:$B$38,0),MATCH('Building Breakdown'!$N41,'Model Assumptions'!$C$29:$F$29,0)),0)</f>
        <v>0</v>
      </c>
      <c r="X41" s="264">
        <f>_xlfn.IFNA(VLOOKUP(O41,'Model Assumptions'!H$30:I$32,2,FALSE),0)</f>
        <v>0</v>
      </c>
      <c r="Y41" s="202">
        <f>(((($S41*$V41)+($T41*$W41)+($U41*$X41))*($G41-(VLOOKUP($D$7,'Model Assumptions'!$B$50:$O$72,2,FALSE))))/1000)*$E41</f>
        <v>0</v>
      </c>
      <c r="Z41" s="203">
        <f>(((($S41*$V41)+($T41*$W41)+($U41*$X41))*($G41-(VLOOKUP($D$7,'Model Assumptions'!$B$50:$O$72,3,FALSE))))/1000)*$E41</f>
        <v>0</v>
      </c>
      <c r="AA41" s="203">
        <f>(((($S41*$V41)+($T41*$W41)+($U41*$X41))*($G41-(VLOOKUP($D$7,'Model Assumptions'!$B$50:$O$72,4,FALSE))))/1000)*$E41</f>
        <v>0</v>
      </c>
      <c r="AB41" s="203">
        <f>(((($S41*$V41)+($T41*$W41)+($U41*$X41))*($G41-(VLOOKUP($D$7,'Model Assumptions'!$B$50:$O$72,5,FALSE))))/1000)*$E41</f>
        <v>0</v>
      </c>
      <c r="AC41" s="203">
        <f>(((($S41*$V41)+($T41*$W41)+($U41*$X41))*($G41-(VLOOKUP($D$7,'Model Assumptions'!$B$50:$O$72,6,FALSE))))/1000)*$E41</f>
        <v>0</v>
      </c>
      <c r="AD41" s="203">
        <f>(((($S41*$V41)+($T41*$W41)+($U41*$X41))*($G41-(VLOOKUP($D$7,'Model Assumptions'!$B$50:$O$72,7,FALSE))))/1000)*$E41</f>
        <v>0</v>
      </c>
      <c r="AE41" s="203">
        <f>(((($S41*$V41)+($T41*$W41)+($U41*$X41))*($G41-(VLOOKUP($D$7,'Model Assumptions'!$B$50:$O$72,8,FALSE))))/1000)*$E41</f>
        <v>0</v>
      </c>
      <c r="AF41" s="203">
        <f>(((($S41*$V41)+($T41*$W41)+($U41*$X41))*($G41-(VLOOKUP($D$7,'Model Assumptions'!$B$50:$O$72,9,FALSE))))/1000)*$E41</f>
        <v>0</v>
      </c>
      <c r="AG41" s="203">
        <f>(((($S41*$V41)+($T41*$W41)+($U41*$X41))*($G41-(VLOOKUP($D$7,'Model Assumptions'!$B$50:$O$72,10,FALSE))))/1000)*$E41</f>
        <v>0</v>
      </c>
      <c r="AH41" s="203">
        <f>(((($S41*$V41)+($T41*$W41)+($U41*$X41))*($G41-(VLOOKUP($D$7,'Model Assumptions'!$B$50:$O$72,11,FALSE))))/1000)*$E41</f>
        <v>0</v>
      </c>
      <c r="AI41" s="203">
        <f>(((($S41*$V41)+($T41*$W41)+($U41*$X41))*($G41-(VLOOKUP($D$7,'Model Assumptions'!$B$50:$O$72,12,FALSE))))/1000)*$E41</f>
        <v>0</v>
      </c>
      <c r="AJ41" s="204">
        <f>(((($S41*$V41)+($T41*$W41)+($U41*$X41))*($G41-(VLOOKUP($D$7,'Model Assumptions'!$B$50:$O$72,13,FALSE))))/1000)*$E41</f>
        <v>0</v>
      </c>
      <c r="AK41" s="193">
        <f>Y41*VLOOKUP("Hours",'Model Assumptions'!$B$50:$O$72,2,FALSE)*$H41*$I41/168</f>
        <v>0</v>
      </c>
      <c r="AL41" s="194">
        <f>Z41*VLOOKUP("Hours",'Model Assumptions'!$B$50:$O$72,3,FALSE)*$H41*$I41/168</f>
        <v>0</v>
      </c>
      <c r="AM41" s="194">
        <f>AA41*VLOOKUP("Hours",'Model Assumptions'!$B$50:$O$72,4,FALSE)*$H41*$I41/168</f>
        <v>0</v>
      </c>
      <c r="AN41" s="194">
        <f>AB41*VLOOKUP("Hours",'Model Assumptions'!$B$50:$O$72,5,FALSE)*$H41*$I41/168</f>
        <v>0</v>
      </c>
      <c r="AO41" s="194">
        <f>AC41*VLOOKUP("Hours",'Model Assumptions'!$B$50:$O$72,6,FALSE)*$H41*$I41/168</f>
        <v>0</v>
      </c>
      <c r="AP41" s="194">
        <f>AD41*VLOOKUP("Hours",'Model Assumptions'!$B$50:$O$72,7,FALSE)*$H41*$I41/168</f>
        <v>0</v>
      </c>
      <c r="AQ41" s="194">
        <f>AE41*VLOOKUP("Hours",'Model Assumptions'!$B$50:$O$72,8,FALSE)*$H41*$I41/168</f>
        <v>0</v>
      </c>
      <c r="AR41" s="194">
        <f>AF41*VLOOKUP("Hours",'Model Assumptions'!$B$50:$O$72,9,FALSE)*$H41*$I41/168</f>
        <v>0</v>
      </c>
      <c r="AS41" s="194">
        <f>AG41*VLOOKUP("Hours",'Model Assumptions'!$B$50:$O$72,10,FALSE)*$H41*$I41/168</f>
        <v>0</v>
      </c>
      <c r="AT41" s="194">
        <f>AH41*VLOOKUP("Hours",'Model Assumptions'!$B$50:$O$72,11,FALSE)*$H41*$I41/168</f>
        <v>0</v>
      </c>
      <c r="AU41" s="194">
        <f>AI41*VLOOKUP("Hours",'Model Assumptions'!$B$50:$O$72,12,FALSE)*$H41*$I41/168</f>
        <v>0</v>
      </c>
      <c r="AV41" s="195">
        <f>AJ41*VLOOKUP("Hours",'Model Assumptions'!$B$50:$O$72,13,FALSE)*$H41*$I41/168</f>
        <v>0</v>
      </c>
      <c r="AW41" s="249">
        <f t="shared" si="19"/>
        <v>0</v>
      </c>
      <c r="AX41" s="250">
        <f t="shared" si="6"/>
        <v>0</v>
      </c>
      <c r="AZ41" s="106"/>
      <c r="BA41" s="234">
        <f t="shared" si="20"/>
        <v>0</v>
      </c>
      <c r="BB41" s="234" t="str">
        <f>_xlfn.IFNA(BA41*INDEX('Bees Non-Electric Breakdown'!$E$20:$AQ$20,1,MATCH('Building Breakdown'!AZ41,'Bees Non-Electric Breakdown'!$E$7:$AQ$7,0)),"")</f>
        <v/>
      </c>
    </row>
    <row r="42" spans="2:54" x14ac:dyDescent="0.3">
      <c r="B42" s="106"/>
      <c r="C42" s="106"/>
      <c r="D42" s="115"/>
      <c r="E42" s="116"/>
      <c r="F42" s="116"/>
      <c r="G42" s="116"/>
      <c r="H42" s="116"/>
      <c r="I42" s="116"/>
      <c r="J42" s="116"/>
      <c r="K42" s="117"/>
      <c r="L42" s="116"/>
      <c r="M42" s="118"/>
      <c r="N42" s="125"/>
      <c r="O42" s="126"/>
      <c r="P42" s="117"/>
      <c r="Q42" s="261">
        <f>_xlfn.IFNA(VLOOKUP(D42,'Model Assumptions'!$B$15:$D$17,3,FALSE),0)</f>
        <v>0</v>
      </c>
      <c r="R42" s="270">
        <f t="shared" si="16"/>
        <v>0</v>
      </c>
      <c r="S42" s="271">
        <f t="shared" si="17"/>
        <v>0</v>
      </c>
      <c r="T42" s="271">
        <f>_xlfn.IFNA(((P42*(VLOOKUP($N42,'Model Assumptions'!$B$10:$C$12,2,FALSE)))/2)+$K42,0)</f>
        <v>0</v>
      </c>
      <c r="U42" s="272">
        <f t="shared" si="18"/>
        <v>0</v>
      </c>
      <c r="V42" s="262">
        <f>_xlfn.IFNA(INDEX('Model Assumptions'!$C$30:$F$38,MATCH('Building Breakdown'!$J42,'Model Assumptions'!$B$30:$B$38,0),MATCH('Building Breakdown'!V$22,'Model Assumptions'!$C$29:$F$29,0)),0)</f>
        <v>0</v>
      </c>
      <c r="W42" s="263">
        <f>_xlfn.IFNA(INDEX('Model Assumptions'!$C$30:$F$38,MATCH('Building Breakdown'!$J42,'Model Assumptions'!$B$30:$B$38,0),MATCH('Building Breakdown'!$N42,'Model Assumptions'!$C$29:$F$29,0)),0)</f>
        <v>0</v>
      </c>
      <c r="X42" s="264">
        <f>_xlfn.IFNA(VLOOKUP(O42,'Model Assumptions'!H$30:I$32,2,FALSE),0)</f>
        <v>0</v>
      </c>
      <c r="Y42" s="202">
        <f>(((($S42*$V42)+($T42*$W42)+($U42*$X42))*($G42-(VLOOKUP($D$7,'Model Assumptions'!$B$50:$O$72,2,FALSE))))/1000)*$E42</f>
        <v>0</v>
      </c>
      <c r="Z42" s="203">
        <f>(((($S42*$V42)+($T42*$W42)+($U42*$X42))*($G42-(VLOOKUP($D$7,'Model Assumptions'!$B$50:$O$72,3,FALSE))))/1000)*$E42</f>
        <v>0</v>
      </c>
      <c r="AA42" s="203">
        <f>(((($S42*$V42)+($T42*$W42)+($U42*$X42))*($G42-(VLOOKUP($D$7,'Model Assumptions'!$B$50:$O$72,4,FALSE))))/1000)*$E42</f>
        <v>0</v>
      </c>
      <c r="AB42" s="203">
        <f>(((($S42*$V42)+($T42*$W42)+($U42*$X42))*($G42-(VLOOKUP($D$7,'Model Assumptions'!$B$50:$O$72,5,FALSE))))/1000)*$E42</f>
        <v>0</v>
      </c>
      <c r="AC42" s="203">
        <f>(((($S42*$V42)+($T42*$W42)+($U42*$X42))*($G42-(VLOOKUP($D$7,'Model Assumptions'!$B$50:$O$72,6,FALSE))))/1000)*$E42</f>
        <v>0</v>
      </c>
      <c r="AD42" s="203">
        <f>(((($S42*$V42)+($T42*$W42)+($U42*$X42))*($G42-(VLOOKUP($D$7,'Model Assumptions'!$B$50:$O$72,7,FALSE))))/1000)*$E42</f>
        <v>0</v>
      </c>
      <c r="AE42" s="203">
        <f>(((($S42*$V42)+($T42*$W42)+($U42*$X42))*($G42-(VLOOKUP($D$7,'Model Assumptions'!$B$50:$O$72,8,FALSE))))/1000)*$E42</f>
        <v>0</v>
      </c>
      <c r="AF42" s="203">
        <f>(((($S42*$V42)+($T42*$W42)+($U42*$X42))*($G42-(VLOOKUP($D$7,'Model Assumptions'!$B$50:$O$72,9,FALSE))))/1000)*$E42</f>
        <v>0</v>
      </c>
      <c r="AG42" s="203">
        <f>(((($S42*$V42)+($T42*$W42)+($U42*$X42))*($G42-(VLOOKUP($D$7,'Model Assumptions'!$B$50:$O$72,10,FALSE))))/1000)*$E42</f>
        <v>0</v>
      </c>
      <c r="AH42" s="203">
        <f>(((($S42*$V42)+($T42*$W42)+($U42*$X42))*($G42-(VLOOKUP($D$7,'Model Assumptions'!$B$50:$O$72,11,FALSE))))/1000)*$E42</f>
        <v>0</v>
      </c>
      <c r="AI42" s="203">
        <f>(((($S42*$V42)+($T42*$W42)+($U42*$X42))*($G42-(VLOOKUP($D$7,'Model Assumptions'!$B$50:$O$72,12,FALSE))))/1000)*$E42</f>
        <v>0</v>
      </c>
      <c r="AJ42" s="204">
        <f>(((($S42*$V42)+($T42*$W42)+($U42*$X42))*($G42-(VLOOKUP($D$7,'Model Assumptions'!$B$50:$O$72,13,FALSE))))/1000)*$E42</f>
        <v>0</v>
      </c>
      <c r="AK42" s="193">
        <f>Y42*VLOOKUP("Hours",'Model Assumptions'!$B$50:$O$72,2,FALSE)*$H42*$I42/168</f>
        <v>0</v>
      </c>
      <c r="AL42" s="194">
        <f>Z42*VLOOKUP("Hours",'Model Assumptions'!$B$50:$O$72,3,FALSE)*$H42*$I42/168</f>
        <v>0</v>
      </c>
      <c r="AM42" s="194">
        <f>AA42*VLOOKUP("Hours",'Model Assumptions'!$B$50:$O$72,4,FALSE)*$H42*$I42/168</f>
        <v>0</v>
      </c>
      <c r="AN42" s="194">
        <f>AB42*VLOOKUP("Hours",'Model Assumptions'!$B$50:$O$72,5,FALSE)*$H42*$I42/168</f>
        <v>0</v>
      </c>
      <c r="AO42" s="194">
        <f>AC42*VLOOKUP("Hours",'Model Assumptions'!$B$50:$O$72,6,FALSE)*$H42*$I42/168</f>
        <v>0</v>
      </c>
      <c r="AP42" s="194">
        <f>AD42*VLOOKUP("Hours",'Model Assumptions'!$B$50:$O$72,7,FALSE)*$H42*$I42/168</f>
        <v>0</v>
      </c>
      <c r="AQ42" s="194">
        <f>AE42*VLOOKUP("Hours",'Model Assumptions'!$B$50:$O$72,8,FALSE)*$H42*$I42/168</f>
        <v>0</v>
      </c>
      <c r="AR42" s="194">
        <f>AF42*VLOOKUP("Hours",'Model Assumptions'!$B$50:$O$72,9,FALSE)*$H42*$I42/168</f>
        <v>0</v>
      </c>
      <c r="AS42" s="194">
        <f>AG42*VLOOKUP("Hours",'Model Assumptions'!$B$50:$O$72,10,FALSE)*$H42*$I42/168</f>
        <v>0</v>
      </c>
      <c r="AT42" s="194">
        <f>AH42*VLOOKUP("Hours",'Model Assumptions'!$B$50:$O$72,11,FALSE)*$H42*$I42/168</f>
        <v>0</v>
      </c>
      <c r="AU42" s="194">
        <f>AI42*VLOOKUP("Hours",'Model Assumptions'!$B$50:$O$72,12,FALSE)*$H42*$I42/168</f>
        <v>0</v>
      </c>
      <c r="AV42" s="195">
        <f>AJ42*VLOOKUP("Hours",'Model Assumptions'!$B$50:$O$72,13,FALSE)*$H42*$I42/168</f>
        <v>0</v>
      </c>
      <c r="AW42" s="249">
        <f t="shared" si="19"/>
        <v>0</v>
      </c>
      <c r="AX42" s="250">
        <f t="shared" si="6"/>
        <v>0</v>
      </c>
      <c r="AZ42" s="106"/>
      <c r="BA42" s="234">
        <f t="shared" si="20"/>
        <v>0</v>
      </c>
      <c r="BB42" s="234" t="str">
        <f>_xlfn.IFNA(BA42*INDEX('Bees Non-Electric Breakdown'!$E$20:$AQ$20,1,MATCH('Building Breakdown'!AZ42,'Bees Non-Electric Breakdown'!$E$7:$AQ$7,0)),"")</f>
        <v/>
      </c>
    </row>
    <row r="43" spans="2:54" x14ac:dyDescent="0.3">
      <c r="B43" s="106"/>
      <c r="C43" s="106"/>
      <c r="D43" s="115"/>
      <c r="E43" s="116"/>
      <c r="F43" s="116"/>
      <c r="G43" s="116"/>
      <c r="H43" s="116"/>
      <c r="I43" s="116"/>
      <c r="J43" s="116"/>
      <c r="K43" s="117"/>
      <c r="L43" s="116"/>
      <c r="M43" s="118"/>
      <c r="N43" s="125"/>
      <c r="O43" s="126"/>
      <c r="P43" s="117"/>
      <c r="Q43" s="261">
        <f>_xlfn.IFNA(VLOOKUP(D43,'Model Assumptions'!$B$15:$D$17,3,FALSE),0)</f>
        <v>0</v>
      </c>
      <c r="R43" s="270">
        <f t="shared" si="16"/>
        <v>0</v>
      </c>
      <c r="S43" s="271">
        <f t="shared" si="17"/>
        <v>0</v>
      </c>
      <c r="T43" s="271">
        <f>_xlfn.IFNA(((P43*(VLOOKUP($N43,'Model Assumptions'!$B$10:$C$12,2,FALSE)))/2)+$K43,0)</f>
        <v>0</v>
      </c>
      <c r="U43" s="272">
        <f t="shared" si="18"/>
        <v>0</v>
      </c>
      <c r="V43" s="262">
        <f>_xlfn.IFNA(INDEX('Model Assumptions'!$C$30:$F$38,MATCH('Building Breakdown'!$J43,'Model Assumptions'!$B$30:$B$38,0),MATCH('Building Breakdown'!V$22,'Model Assumptions'!$C$29:$F$29,0)),0)</f>
        <v>0</v>
      </c>
      <c r="W43" s="263">
        <f>_xlfn.IFNA(INDEX('Model Assumptions'!$C$30:$F$38,MATCH('Building Breakdown'!$J43,'Model Assumptions'!$B$30:$B$38,0),MATCH('Building Breakdown'!$N43,'Model Assumptions'!$C$29:$F$29,0)),0)</f>
        <v>0</v>
      </c>
      <c r="X43" s="264">
        <f>_xlfn.IFNA(VLOOKUP(O43,'Model Assumptions'!H$30:I$32,2,FALSE),0)</f>
        <v>0</v>
      </c>
      <c r="Y43" s="202">
        <f>(((($S43*$V43)+($T43*$W43)+($U43*$X43))*($G43-(VLOOKUP($D$7,'Model Assumptions'!$B$50:$O$72,2,FALSE))))/1000)*$E43</f>
        <v>0</v>
      </c>
      <c r="Z43" s="203">
        <f>(((($S43*$V43)+($T43*$W43)+($U43*$X43))*($G43-(VLOOKUP($D$7,'Model Assumptions'!$B$50:$O$72,3,FALSE))))/1000)*$E43</f>
        <v>0</v>
      </c>
      <c r="AA43" s="203">
        <f>(((($S43*$V43)+($T43*$W43)+($U43*$X43))*($G43-(VLOOKUP($D$7,'Model Assumptions'!$B$50:$O$72,4,FALSE))))/1000)*$E43</f>
        <v>0</v>
      </c>
      <c r="AB43" s="203">
        <f>(((($S43*$V43)+($T43*$W43)+($U43*$X43))*($G43-(VLOOKUP($D$7,'Model Assumptions'!$B$50:$O$72,5,FALSE))))/1000)*$E43</f>
        <v>0</v>
      </c>
      <c r="AC43" s="203">
        <f>(((($S43*$V43)+($T43*$W43)+($U43*$X43))*($G43-(VLOOKUP($D$7,'Model Assumptions'!$B$50:$O$72,6,FALSE))))/1000)*$E43</f>
        <v>0</v>
      </c>
      <c r="AD43" s="203">
        <f>(((($S43*$V43)+($T43*$W43)+($U43*$X43))*($G43-(VLOOKUP($D$7,'Model Assumptions'!$B$50:$O$72,7,FALSE))))/1000)*$E43</f>
        <v>0</v>
      </c>
      <c r="AE43" s="203">
        <f>(((($S43*$V43)+($T43*$W43)+($U43*$X43))*($G43-(VLOOKUP($D$7,'Model Assumptions'!$B$50:$O$72,8,FALSE))))/1000)*$E43</f>
        <v>0</v>
      </c>
      <c r="AF43" s="203">
        <f>(((($S43*$V43)+($T43*$W43)+($U43*$X43))*($G43-(VLOOKUP($D$7,'Model Assumptions'!$B$50:$O$72,9,FALSE))))/1000)*$E43</f>
        <v>0</v>
      </c>
      <c r="AG43" s="203">
        <f>(((($S43*$V43)+($T43*$W43)+($U43*$X43))*($G43-(VLOOKUP($D$7,'Model Assumptions'!$B$50:$O$72,10,FALSE))))/1000)*$E43</f>
        <v>0</v>
      </c>
      <c r="AH43" s="203">
        <f>(((($S43*$V43)+($T43*$W43)+($U43*$X43))*($G43-(VLOOKUP($D$7,'Model Assumptions'!$B$50:$O$72,11,FALSE))))/1000)*$E43</f>
        <v>0</v>
      </c>
      <c r="AI43" s="203">
        <f>(((($S43*$V43)+($T43*$W43)+($U43*$X43))*($G43-(VLOOKUP($D$7,'Model Assumptions'!$B$50:$O$72,12,FALSE))))/1000)*$E43</f>
        <v>0</v>
      </c>
      <c r="AJ43" s="204">
        <f>(((($S43*$V43)+($T43*$W43)+($U43*$X43))*($G43-(VLOOKUP($D$7,'Model Assumptions'!$B$50:$O$72,13,FALSE))))/1000)*$E43</f>
        <v>0</v>
      </c>
      <c r="AK43" s="193">
        <f>Y43*VLOOKUP("Hours",'Model Assumptions'!$B$50:$O$72,2,FALSE)*$H43*$I43/168</f>
        <v>0</v>
      </c>
      <c r="AL43" s="194">
        <f>Z43*VLOOKUP("Hours",'Model Assumptions'!$B$50:$O$72,3,FALSE)*$H43*$I43/168</f>
        <v>0</v>
      </c>
      <c r="AM43" s="194">
        <f>AA43*VLOOKUP("Hours",'Model Assumptions'!$B$50:$O$72,4,FALSE)*$H43*$I43/168</f>
        <v>0</v>
      </c>
      <c r="AN43" s="194">
        <f>AB43*VLOOKUP("Hours",'Model Assumptions'!$B$50:$O$72,5,FALSE)*$H43*$I43/168</f>
        <v>0</v>
      </c>
      <c r="AO43" s="194">
        <f>AC43*VLOOKUP("Hours",'Model Assumptions'!$B$50:$O$72,6,FALSE)*$H43*$I43/168</f>
        <v>0</v>
      </c>
      <c r="AP43" s="194">
        <f>AD43*VLOOKUP("Hours",'Model Assumptions'!$B$50:$O$72,7,FALSE)*$H43*$I43/168</f>
        <v>0</v>
      </c>
      <c r="AQ43" s="194">
        <f>AE43*VLOOKUP("Hours",'Model Assumptions'!$B$50:$O$72,8,FALSE)*$H43*$I43/168</f>
        <v>0</v>
      </c>
      <c r="AR43" s="194">
        <f>AF43*VLOOKUP("Hours",'Model Assumptions'!$B$50:$O$72,9,FALSE)*$H43*$I43/168</f>
        <v>0</v>
      </c>
      <c r="AS43" s="194">
        <f>AG43*VLOOKUP("Hours",'Model Assumptions'!$B$50:$O$72,10,FALSE)*$H43*$I43/168</f>
        <v>0</v>
      </c>
      <c r="AT43" s="194">
        <f>AH43*VLOOKUP("Hours",'Model Assumptions'!$B$50:$O$72,11,FALSE)*$H43*$I43/168</f>
        <v>0</v>
      </c>
      <c r="AU43" s="194">
        <f>AI43*VLOOKUP("Hours",'Model Assumptions'!$B$50:$O$72,12,FALSE)*$H43*$I43/168</f>
        <v>0</v>
      </c>
      <c r="AV43" s="195">
        <f>AJ43*VLOOKUP("Hours",'Model Assumptions'!$B$50:$O$72,13,FALSE)*$H43*$I43/168</f>
        <v>0</v>
      </c>
      <c r="AW43" s="249">
        <f t="shared" si="19"/>
        <v>0</v>
      </c>
      <c r="AX43" s="250">
        <f t="shared" si="6"/>
        <v>0</v>
      </c>
      <c r="AZ43" s="106"/>
      <c r="BA43" s="234">
        <f t="shared" si="20"/>
        <v>0</v>
      </c>
      <c r="BB43" s="234" t="str">
        <f>_xlfn.IFNA(BA43*INDEX('Bees Non-Electric Breakdown'!$E$20:$AQ$20,1,MATCH('Building Breakdown'!AZ43,'Bees Non-Electric Breakdown'!$E$7:$AQ$7,0)),"")</f>
        <v/>
      </c>
    </row>
    <row r="44" spans="2:54" x14ac:dyDescent="0.3">
      <c r="B44" s="106"/>
      <c r="C44" s="106"/>
      <c r="D44" s="115"/>
      <c r="E44" s="116"/>
      <c r="F44" s="116"/>
      <c r="G44" s="116"/>
      <c r="H44" s="116"/>
      <c r="I44" s="116"/>
      <c r="J44" s="116"/>
      <c r="K44" s="117"/>
      <c r="L44" s="116"/>
      <c r="M44" s="118"/>
      <c r="N44" s="125"/>
      <c r="O44" s="126"/>
      <c r="P44" s="117"/>
      <c r="Q44" s="261">
        <f>_xlfn.IFNA(VLOOKUP(D44,'Model Assumptions'!$B$15:$D$17,3,FALSE),0)</f>
        <v>0</v>
      </c>
      <c r="R44" s="270">
        <f t="shared" si="16"/>
        <v>0</v>
      </c>
      <c r="S44" s="271">
        <f t="shared" si="17"/>
        <v>0</v>
      </c>
      <c r="T44" s="271">
        <f>_xlfn.IFNA(((P44*(VLOOKUP($N44,'Model Assumptions'!$B$10:$C$12,2,FALSE)))/2)+$K44,0)</f>
        <v>0</v>
      </c>
      <c r="U44" s="272">
        <f t="shared" si="18"/>
        <v>0</v>
      </c>
      <c r="V44" s="262">
        <f>_xlfn.IFNA(INDEX('Model Assumptions'!$C$30:$F$38,MATCH('Building Breakdown'!$J44,'Model Assumptions'!$B$30:$B$38,0),MATCH('Building Breakdown'!V$22,'Model Assumptions'!$C$29:$F$29,0)),0)</f>
        <v>0</v>
      </c>
      <c r="W44" s="263">
        <f>_xlfn.IFNA(INDEX('Model Assumptions'!$C$30:$F$38,MATCH('Building Breakdown'!$J44,'Model Assumptions'!$B$30:$B$38,0),MATCH('Building Breakdown'!$N44,'Model Assumptions'!$C$29:$F$29,0)),0)</f>
        <v>0</v>
      </c>
      <c r="X44" s="264">
        <f>_xlfn.IFNA(VLOOKUP(O44,'Model Assumptions'!H$30:I$32,2,FALSE),0)</f>
        <v>0</v>
      </c>
      <c r="Y44" s="202">
        <f>(((($S44*$V44)+($T44*$W44)+($U44*$X44))*($G44-(VLOOKUP($D$7,'Model Assumptions'!$B$50:$O$72,2,FALSE))))/1000)*$E44</f>
        <v>0</v>
      </c>
      <c r="Z44" s="203">
        <f>(((($S44*$V44)+($T44*$W44)+($U44*$X44))*($G44-(VLOOKUP($D$7,'Model Assumptions'!$B$50:$O$72,3,FALSE))))/1000)*$E44</f>
        <v>0</v>
      </c>
      <c r="AA44" s="203">
        <f>(((($S44*$V44)+($T44*$W44)+($U44*$X44))*($G44-(VLOOKUP($D$7,'Model Assumptions'!$B$50:$O$72,4,FALSE))))/1000)*$E44</f>
        <v>0</v>
      </c>
      <c r="AB44" s="203">
        <f>(((($S44*$V44)+($T44*$W44)+($U44*$X44))*($G44-(VLOOKUP($D$7,'Model Assumptions'!$B$50:$O$72,5,FALSE))))/1000)*$E44</f>
        <v>0</v>
      </c>
      <c r="AC44" s="203">
        <f>(((($S44*$V44)+($T44*$W44)+($U44*$X44))*($G44-(VLOOKUP($D$7,'Model Assumptions'!$B$50:$O$72,6,FALSE))))/1000)*$E44</f>
        <v>0</v>
      </c>
      <c r="AD44" s="203">
        <f>(((($S44*$V44)+($T44*$W44)+($U44*$X44))*($G44-(VLOOKUP($D$7,'Model Assumptions'!$B$50:$O$72,7,FALSE))))/1000)*$E44</f>
        <v>0</v>
      </c>
      <c r="AE44" s="203">
        <f>(((($S44*$V44)+($T44*$W44)+($U44*$X44))*($G44-(VLOOKUP($D$7,'Model Assumptions'!$B$50:$O$72,8,FALSE))))/1000)*$E44</f>
        <v>0</v>
      </c>
      <c r="AF44" s="203">
        <f>(((($S44*$V44)+($T44*$W44)+($U44*$X44))*($G44-(VLOOKUP($D$7,'Model Assumptions'!$B$50:$O$72,9,FALSE))))/1000)*$E44</f>
        <v>0</v>
      </c>
      <c r="AG44" s="203">
        <f>(((($S44*$V44)+($T44*$W44)+($U44*$X44))*($G44-(VLOOKUP($D$7,'Model Assumptions'!$B$50:$O$72,10,FALSE))))/1000)*$E44</f>
        <v>0</v>
      </c>
      <c r="AH44" s="203">
        <f>(((($S44*$V44)+($T44*$W44)+($U44*$X44))*($G44-(VLOOKUP($D$7,'Model Assumptions'!$B$50:$O$72,11,FALSE))))/1000)*$E44</f>
        <v>0</v>
      </c>
      <c r="AI44" s="203">
        <f>(((($S44*$V44)+($T44*$W44)+($U44*$X44))*($G44-(VLOOKUP($D$7,'Model Assumptions'!$B$50:$O$72,12,FALSE))))/1000)*$E44</f>
        <v>0</v>
      </c>
      <c r="AJ44" s="204">
        <f>(((($S44*$V44)+($T44*$W44)+($U44*$X44))*($G44-(VLOOKUP($D$7,'Model Assumptions'!$B$50:$O$72,13,FALSE))))/1000)*$E44</f>
        <v>0</v>
      </c>
      <c r="AK44" s="193">
        <f>Y44*VLOOKUP("Hours",'Model Assumptions'!$B$50:$O$72,2,FALSE)*$H44*$I44/168</f>
        <v>0</v>
      </c>
      <c r="AL44" s="194">
        <f>Z44*VLOOKUP("Hours",'Model Assumptions'!$B$50:$O$72,3,FALSE)*$H44*$I44/168</f>
        <v>0</v>
      </c>
      <c r="AM44" s="194">
        <f>AA44*VLOOKUP("Hours",'Model Assumptions'!$B$50:$O$72,4,FALSE)*$H44*$I44/168</f>
        <v>0</v>
      </c>
      <c r="AN44" s="194">
        <f>AB44*VLOOKUP("Hours",'Model Assumptions'!$B$50:$O$72,5,FALSE)*$H44*$I44/168</f>
        <v>0</v>
      </c>
      <c r="AO44" s="194">
        <f>AC44*VLOOKUP("Hours",'Model Assumptions'!$B$50:$O$72,6,FALSE)*$H44*$I44/168</f>
        <v>0</v>
      </c>
      <c r="AP44" s="194">
        <f>AD44*VLOOKUP("Hours",'Model Assumptions'!$B$50:$O$72,7,FALSE)*$H44*$I44/168</f>
        <v>0</v>
      </c>
      <c r="AQ44" s="194">
        <f>AE44*VLOOKUP("Hours",'Model Assumptions'!$B$50:$O$72,8,FALSE)*$H44*$I44/168</f>
        <v>0</v>
      </c>
      <c r="AR44" s="194">
        <f>AF44*VLOOKUP("Hours",'Model Assumptions'!$B$50:$O$72,9,FALSE)*$H44*$I44/168</f>
        <v>0</v>
      </c>
      <c r="AS44" s="194">
        <f>AG44*VLOOKUP("Hours",'Model Assumptions'!$B$50:$O$72,10,FALSE)*$H44*$I44/168</f>
        <v>0</v>
      </c>
      <c r="AT44" s="194">
        <f>AH44*VLOOKUP("Hours",'Model Assumptions'!$B$50:$O$72,11,FALSE)*$H44*$I44/168</f>
        <v>0</v>
      </c>
      <c r="AU44" s="194">
        <f>AI44*VLOOKUP("Hours",'Model Assumptions'!$B$50:$O$72,12,FALSE)*$H44*$I44/168</f>
        <v>0</v>
      </c>
      <c r="AV44" s="195">
        <f>AJ44*VLOOKUP("Hours",'Model Assumptions'!$B$50:$O$72,13,FALSE)*$H44*$I44/168</f>
        <v>0</v>
      </c>
      <c r="AW44" s="249">
        <f t="shared" si="19"/>
        <v>0</v>
      </c>
      <c r="AX44" s="250">
        <f t="shared" si="6"/>
        <v>0</v>
      </c>
      <c r="AZ44" s="106"/>
      <c r="BA44" s="234">
        <f t="shared" si="20"/>
        <v>0</v>
      </c>
      <c r="BB44" s="234" t="str">
        <f>_xlfn.IFNA(BA44*INDEX('Bees Non-Electric Breakdown'!$E$20:$AQ$20,1,MATCH('Building Breakdown'!AZ44,'Bees Non-Electric Breakdown'!$E$7:$AQ$7,0)),"")</f>
        <v/>
      </c>
    </row>
    <row r="45" spans="2:54" x14ac:dyDescent="0.3">
      <c r="B45" s="106"/>
      <c r="C45" s="106"/>
      <c r="D45" s="115"/>
      <c r="E45" s="116"/>
      <c r="F45" s="116"/>
      <c r="G45" s="116"/>
      <c r="H45" s="116"/>
      <c r="I45" s="116"/>
      <c r="J45" s="116"/>
      <c r="K45" s="117"/>
      <c r="L45" s="116"/>
      <c r="M45" s="118"/>
      <c r="N45" s="125"/>
      <c r="O45" s="126"/>
      <c r="P45" s="117"/>
      <c r="Q45" s="261">
        <f>_xlfn.IFNA(VLOOKUP(D45,'Model Assumptions'!$B$15:$D$17,3,FALSE),0)</f>
        <v>0</v>
      </c>
      <c r="R45" s="270">
        <f t="shared" si="16"/>
        <v>0</v>
      </c>
      <c r="S45" s="271">
        <f t="shared" si="17"/>
        <v>0</v>
      </c>
      <c r="T45" s="271">
        <f>_xlfn.IFNA(((P45*(VLOOKUP($N45,'Model Assumptions'!$B$10:$C$12,2,FALSE)))/2)+$K45,0)</f>
        <v>0</v>
      </c>
      <c r="U45" s="272">
        <f t="shared" si="18"/>
        <v>0</v>
      </c>
      <c r="V45" s="262">
        <f>_xlfn.IFNA(INDEX('Model Assumptions'!$C$30:$F$38,MATCH('Building Breakdown'!$J45,'Model Assumptions'!$B$30:$B$38,0),MATCH('Building Breakdown'!V$22,'Model Assumptions'!$C$29:$F$29,0)),0)</f>
        <v>0</v>
      </c>
      <c r="W45" s="263">
        <f>_xlfn.IFNA(INDEX('Model Assumptions'!$C$30:$F$38,MATCH('Building Breakdown'!$J45,'Model Assumptions'!$B$30:$B$38,0),MATCH('Building Breakdown'!$N45,'Model Assumptions'!$C$29:$F$29,0)),0)</f>
        <v>0</v>
      </c>
      <c r="X45" s="264">
        <f>_xlfn.IFNA(VLOOKUP(O45,'Model Assumptions'!H$30:I$32,2,FALSE),0)</f>
        <v>0</v>
      </c>
      <c r="Y45" s="202">
        <f>(((($S45*$V45)+($T45*$W45)+($U45*$X45))*($G45-(VLOOKUP($D$7,'Model Assumptions'!$B$50:$O$72,2,FALSE))))/1000)*$E45</f>
        <v>0</v>
      </c>
      <c r="Z45" s="203">
        <f>(((($S45*$V45)+($T45*$W45)+($U45*$X45))*($G45-(VLOOKUP($D$7,'Model Assumptions'!$B$50:$O$72,3,FALSE))))/1000)*$E45</f>
        <v>0</v>
      </c>
      <c r="AA45" s="203">
        <f>(((($S45*$V45)+($T45*$W45)+($U45*$X45))*($G45-(VLOOKUP($D$7,'Model Assumptions'!$B$50:$O$72,4,FALSE))))/1000)*$E45</f>
        <v>0</v>
      </c>
      <c r="AB45" s="203">
        <f>(((($S45*$V45)+($T45*$W45)+($U45*$X45))*($G45-(VLOOKUP($D$7,'Model Assumptions'!$B$50:$O$72,5,FALSE))))/1000)*$E45</f>
        <v>0</v>
      </c>
      <c r="AC45" s="203">
        <f>(((($S45*$V45)+($T45*$W45)+($U45*$X45))*($G45-(VLOOKUP($D$7,'Model Assumptions'!$B$50:$O$72,6,FALSE))))/1000)*$E45</f>
        <v>0</v>
      </c>
      <c r="AD45" s="203">
        <f>(((($S45*$V45)+($T45*$W45)+($U45*$X45))*($G45-(VLOOKUP($D$7,'Model Assumptions'!$B$50:$O$72,7,FALSE))))/1000)*$E45</f>
        <v>0</v>
      </c>
      <c r="AE45" s="203">
        <f>(((($S45*$V45)+($T45*$W45)+($U45*$X45))*($G45-(VLOOKUP($D$7,'Model Assumptions'!$B$50:$O$72,8,FALSE))))/1000)*$E45</f>
        <v>0</v>
      </c>
      <c r="AF45" s="203">
        <f>(((($S45*$V45)+($T45*$W45)+($U45*$X45))*($G45-(VLOOKUP($D$7,'Model Assumptions'!$B$50:$O$72,9,FALSE))))/1000)*$E45</f>
        <v>0</v>
      </c>
      <c r="AG45" s="203">
        <f>(((($S45*$V45)+($T45*$W45)+($U45*$X45))*($G45-(VLOOKUP($D$7,'Model Assumptions'!$B$50:$O$72,10,FALSE))))/1000)*$E45</f>
        <v>0</v>
      </c>
      <c r="AH45" s="203">
        <f>(((($S45*$V45)+($T45*$W45)+($U45*$X45))*($G45-(VLOOKUP($D$7,'Model Assumptions'!$B$50:$O$72,11,FALSE))))/1000)*$E45</f>
        <v>0</v>
      </c>
      <c r="AI45" s="203">
        <f>(((($S45*$V45)+($T45*$W45)+($U45*$X45))*($G45-(VLOOKUP($D$7,'Model Assumptions'!$B$50:$O$72,12,FALSE))))/1000)*$E45</f>
        <v>0</v>
      </c>
      <c r="AJ45" s="204">
        <f>(((($S45*$V45)+($T45*$W45)+($U45*$X45))*($G45-(VLOOKUP($D$7,'Model Assumptions'!$B$50:$O$72,13,FALSE))))/1000)*$E45</f>
        <v>0</v>
      </c>
      <c r="AK45" s="193">
        <f>Y45*VLOOKUP("Hours",'Model Assumptions'!$B$50:$O$72,2,FALSE)*$H45*$I45/168</f>
        <v>0</v>
      </c>
      <c r="AL45" s="194">
        <f>Z45*VLOOKUP("Hours",'Model Assumptions'!$B$50:$O$72,3,FALSE)*$H45*$I45/168</f>
        <v>0</v>
      </c>
      <c r="AM45" s="194">
        <f>AA45*VLOOKUP("Hours",'Model Assumptions'!$B$50:$O$72,4,FALSE)*$H45*$I45/168</f>
        <v>0</v>
      </c>
      <c r="AN45" s="194">
        <f>AB45*VLOOKUP("Hours",'Model Assumptions'!$B$50:$O$72,5,FALSE)*$H45*$I45/168</f>
        <v>0</v>
      </c>
      <c r="AO45" s="194">
        <f>AC45*VLOOKUP("Hours",'Model Assumptions'!$B$50:$O$72,6,FALSE)*$H45*$I45/168</f>
        <v>0</v>
      </c>
      <c r="AP45" s="194">
        <f>AD45*VLOOKUP("Hours",'Model Assumptions'!$B$50:$O$72,7,FALSE)*$H45*$I45/168</f>
        <v>0</v>
      </c>
      <c r="AQ45" s="194">
        <f>AE45*VLOOKUP("Hours",'Model Assumptions'!$B$50:$O$72,8,FALSE)*$H45*$I45/168</f>
        <v>0</v>
      </c>
      <c r="AR45" s="194">
        <f>AF45*VLOOKUP("Hours",'Model Assumptions'!$B$50:$O$72,9,FALSE)*$H45*$I45/168</f>
        <v>0</v>
      </c>
      <c r="AS45" s="194">
        <f>AG45*VLOOKUP("Hours",'Model Assumptions'!$B$50:$O$72,10,FALSE)*$H45*$I45/168</f>
        <v>0</v>
      </c>
      <c r="AT45" s="194">
        <f>AH45*VLOOKUP("Hours",'Model Assumptions'!$B$50:$O$72,11,FALSE)*$H45*$I45/168</f>
        <v>0</v>
      </c>
      <c r="AU45" s="194">
        <f>AI45*VLOOKUP("Hours",'Model Assumptions'!$B$50:$O$72,12,FALSE)*$H45*$I45/168</f>
        <v>0</v>
      </c>
      <c r="AV45" s="195">
        <f>AJ45*VLOOKUP("Hours",'Model Assumptions'!$B$50:$O$72,13,FALSE)*$H45*$I45/168</f>
        <v>0</v>
      </c>
      <c r="AW45" s="249">
        <f t="shared" si="19"/>
        <v>0</v>
      </c>
      <c r="AX45" s="250">
        <f t="shared" si="6"/>
        <v>0</v>
      </c>
      <c r="AZ45" s="106"/>
      <c r="BA45" s="234">
        <f t="shared" si="20"/>
        <v>0</v>
      </c>
      <c r="BB45" s="234" t="str">
        <f>_xlfn.IFNA(BA45*INDEX('Bees Non-Electric Breakdown'!$E$20:$AQ$20,1,MATCH('Building Breakdown'!AZ45,'Bees Non-Electric Breakdown'!$E$7:$AQ$7,0)),"")</f>
        <v/>
      </c>
    </row>
    <row r="46" spans="2:54" x14ac:dyDescent="0.3">
      <c r="B46" s="106"/>
      <c r="C46" s="106"/>
      <c r="D46" s="115"/>
      <c r="E46" s="116"/>
      <c r="F46" s="116"/>
      <c r="G46" s="116"/>
      <c r="H46" s="116"/>
      <c r="I46" s="116"/>
      <c r="J46" s="116"/>
      <c r="K46" s="117"/>
      <c r="L46" s="116"/>
      <c r="M46" s="118"/>
      <c r="N46" s="125"/>
      <c r="O46" s="126"/>
      <c r="P46" s="117"/>
      <c r="Q46" s="261">
        <f>_xlfn.IFNA(VLOOKUP(D46,'Model Assumptions'!$B$15:$D$17,3,FALSE),0)</f>
        <v>0</v>
      </c>
      <c r="R46" s="270">
        <f t="shared" si="16"/>
        <v>0</v>
      </c>
      <c r="S46" s="271">
        <f t="shared" si="17"/>
        <v>0</v>
      </c>
      <c r="T46" s="271">
        <f>_xlfn.IFNA(((P46*(VLOOKUP($N46,'Model Assumptions'!$B$10:$C$12,2,FALSE)))/2)+$K46,0)</f>
        <v>0</v>
      </c>
      <c r="U46" s="272">
        <f t="shared" si="18"/>
        <v>0</v>
      </c>
      <c r="V46" s="262">
        <f>_xlfn.IFNA(INDEX('Model Assumptions'!$C$30:$F$38,MATCH('Building Breakdown'!$J46,'Model Assumptions'!$B$30:$B$38,0),MATCH('Building Breakdown'!V$22,'Model Assumptions'!$C$29:$F$29,0)),0)</f>
        <v>0</v>
      </c>
      <c r="W46" s="263">
        <f>_xlfn.IFNA(INDEX('Model Assumptions'!$C$30:$F$38,MATCH('Building Breakdown'!$J46,'Model Assumptions'!$B$30:$B$38,0),MATCH('Building Breakdown'!$N46,'Model Assumptions'!$C$29:$F$29,0)),0)</f>
        <v>0</v>
      </c>
      <c r="X46" s="264">
        <f>_xlfn.IFNA(VLOOKUP(O46,'Model Assumptions'!H$30:I$32,2,FALSE),0)</f>
        <v>0</v>
      </c>
      <c r="Y46" s="202">
        <f>(((($S46*$V46)+($T46*$W46)+($U46*$X46))*($G46-(VLOOKUP($D$7,'Model Assumptions'!$B$50:$O$72,2,FALSE))))/1000)*$E46</f>
        <v>0</v>
      </c>
      <c r="Z46" s="203">
        <f>(((($S46*$V46)+($T46*$W46)+($U46*$X46))*($G46-(VLOOKUP($D$7,'Model Assumptions'!$B$50:$O$72,3,FALSE))))/1000)*$E46</f>
        <v>0</v>
      </c>
      <c r="AA46" s="203">
        <f>(((($S46*$V46)+($T46*$W46)+($U46*$X46))*($G46-(VLOOKUP($D$7,'Model Assumptions'!$B$50:$O$72,4,FALSE))))/1000)*$E46</f>
        <v>0</v>
      </c>
      <c r="AB46" s="203">
        <f>(((($S46*$V46)+($T46*$W46)+($U46*$X46))*($G46-(VLOOKUP($D$7,'Model Assumptions'!$B$50:$O$72,5,FALSE))))/1000)*$E46</f>
        <v>0</v>
      </c>
      <c r="AC46" s="203">
        <f>(((($S46*$V46)+($T46*$W46)+($U46*$X46))*($G46-(VLOOKUP($D$7,'Model Assumptions'!$B$50:$O$72,6,FALSE))))/1000)*$E46</f>
        <v>0</v>
      </c>
      <c r="AD46" s="203">
        <f>(((($S46*$V46)+($T46*$W46)+($U46*$X46))*($G46-(VLOOKUP($D$7,'Model Assumptions'!$B$50:$O$72,7,FALSE))))/1000)*$E46</f>
        <v>0</v>
      </c>
      <c r="AE46" s="203">
        <f>(((($S46*$V46)+($T46*$W46)+($U46*$X46))*($G46-(VLOOKUP($D$7,'Model Assumptions'!$B$50:$O$72,8,FALSE))))/1000)*$E46</f>
        <v>0</v>
      </c>
      <c r="AF46" s="203">
        <f>(((($S46*$V46)+($T46*$W46)+($U46*$X46))*($G46-(VLOOKUP($D$7,'Model Assumptions'!$B$50:$O$72,9,FALSE))))/1000)*$E46</f>
        <v>0</v>
      </c>
      <c r="AG46" s="203">
        <f>(((($S46*$V46)+($T46*$W46)+($U46*$X46))*($G46-(VLOOKUP($D$7,'Model Assumptions'!$B$50:$O$72,10,FALSE))))/1000)*$E46</f>
        <v>0</v>
      </c>
      <c r="AH46" s="203">
        <f>(((($S46*$V46)+($T46*$W46)+($U46*$X46))*($G46-(VLOOKUP($D$7,'Model Assumptions'!$B$50:$O$72,11,FALSE))))/1000)*$E46</f>
        <v>0</v>
      </c>
      <c r="AI46" s="203">
        <f>(((($S46*$V46)+($T46*$W46)+($U46*$X46))*($G46-(VLOOKUP($D$7,'Model Assumptions'!$B$50:$O$72,12,FALSE))))/1000)*$E46</f>
        <v>0</v>
      </c>
      <c r="AJ46" s="204">
        <f>(((($S46*$V46)+($T46*$W46)+($U46*$X46))*($G46-(VLOOKUP($D$7,'Model Assumptions'!$B$50:$O$72,13,FALSE))))/1000)*$E46</f>
        <v>0</v>
      </c>
      <c r="AK46" s="193">
        <f>Y46*VLOOKUP("Hours",'Model Assumptions'!$B$50:$O$72,2,FALSE)*$H46*$I46/168</f>
        <v>0</v>
      </c>
      <c r="AL46" s="194">
        <f>Z46*VLOOKUP("Hours",'Model Assumptions'!$B$50:$O$72,3,FALSE)*$H46*$I46/168</f>
        <v>0</v>
      </c>
      <c r="AM46" s="194">
        <f>AA46*VLOOKUP("Hours",'Model Assumptions'!$B$50:$O$72,4,FALSE)*$H46*$I46/168</f>
        <v>0</v>
      </c>
      <c r="AN46" s="194">
        <f>AB46*VLOOKUP("Hours",'Model Assumptions'!$B$50:$O$72,5,FALSE)*$H46*$I46/168</f>
        <v>0</v>
      </c>
      <c r="AO46" s="194">
        <f>AC46*VLOOKUP("Hours",'Model Assumptions'!$B$50:$O$72,6,FALSE)*$H46*$I46/168</f>
        <v>0</v>
      </c>
      <c r="AP46" s="194">
        <f>AD46*VLOOKUP("Hours",'Model Assumptions'!$B$50:$O$72,7,FALSE)*$H46*$I46/168</f>
        <v>0</v>
      </c>
      <c r="AQ46" s="194">
        <f>AE46*VLOOKUP("Hours",'Model Assumptions'!$B$50:$O$72,8,FALSE)*$H46*$I46/168</f>
        <v>0</v>
      </c>
      <c r="AR46" s="194">
        <f>AF46*VLOOKUP("Hours",'Model Assumptions'!$B$50:$O$72,9,FALSE)*$H46*$I46/168</f>
        <v>0</v>
      </c>
      <c r="AS46" s="194">
        <f>AG46*VLOOKUP("Hours",'Model Assumptions'!$B$50:$O$72,10,FALSE)*$H46*$I46/168</f>
        <v>0</v>
      </c>
      <c r="AT46" s="194">
        <f>AH46*VLOOKUP("Hours",'Model Assumptions'!$B$50:$O$72,11,FALSE)*$H46*$I46/168</f>
        <v>0</v>
      </c>
      <c r="AU46" s="194">
        <f>AI46*VLOOKUP("Hours",'Model Assumptions'!$B$50:$O$72,12,FALSE)*$H46*$I46/168</f>
        <v>0</v>
      </c>
      <c r="AV46" s="195">
        <f>AJ46*VLOOKUP("Hours",'Model Assumptions'!$B$50:$O$72,13,FALSE)*$H46*$I46/168</f>
        <v>0</v>
      </c>
      <c r="AW46" s="249">
        <f t="shared" si="19"/>
        <v>0</v>
      </c>
      <c r="AX46" s="250">
        <f t="shared" si="6"/>
        <v>0</v>
      </c>
      <c r="AZ46" s="106"/>
      <c r="BA46" s="234">
        <f t="shared" si="20"/>
        <v>0</v>
      </c>
      <c r="BB46" s="234" t="str">
        <f>_xlfn.IFNA(BA46*INDEX('Bees Non-Electric Breakdown'!$E$20:$AQ$20,1,MATCH('Building Breakdown'!AZ46,'Bees Non-Electric Breakdown'!$E$7:$AQ$7,0)),"")</f>
        <v/>
      </c>
    </row>
    <row r="47" spans="2:54" x14ac:dyDescent="0.3">
      <c r="B47" s="106"/>
      <c r="C47" s="106"/>
      <c r="D47" s="115"/>
      <c r="E47" s="116"/>
      <c r="F47" s="116"/>
      <c r="G47" s="116"/>
      <c r="H47" s="116"/>
      <c r="I47" s="116"/>
      <c r="J47" s="116"/>
      <c r="K47" s="117"/>
      <c r="L47" s="116"/>
      <c r="M47" s="118"/>
      <c r="N47" s="125"/>
      <c r="O47" s="126"/>
      <c r="P47" s="117"/>
      <c r="Q47" s="261">
        <f>_xlfn.IFNA(VLOOKUP(D47,'Model Assumptions'!$B$15:$D$17,3,FALSE),0)</f>
        <v>0</v>
      </c>
      <c r="R47" s="270">
        <f t="shared" si="16"/>
        <v>0</v>
      </c>
      <c r="S47" s="271">
        <f t="shared" si="17"/>
        <v>0</v>
      </c>
      <c r="T47" s="271">
        <f>_xlfn.IFNA(((P47*(VLOOKUP($N47,'Model Assumptions'!$B$10:$C$12,2,FALSE)))/2)+$K47,0)</f>
        <v>0</v>
      </c>
      <c r="U47" s="272">
        <f t="shared" si="18"/>
        <v>0</v>
      </c>
      <c r="V47" s="262">
        <f>_xlfn.IFNA(INDEX('Model Assumptions'!$C$30:$F$38,MATCH('Building Breakdown'!$J47,'Model Assumptions'!$B$30:$B$38,0),MATCH('Building Breakdown'!V$22,'Model Assumptions'!$C$29:$F$29,0)),0)</f>
        <v>0</v>
      </c>
      <c r="W47" s="263">
        <f>_xlfn.IFNA(INDEX('Model Assumptions'!$C$30:$F$38,MATCH('Building Breakdown'!$J47,'Model Assumptions'!$B$30:$B$38,0),MATCH('Building Breakdown'!$N47,'Model Assumptions'!$C$29:$F$29,0)),0)</f>
        <v>0</v>
      </c>
      <c r="X47" s="264">
        <f>_xlfn.IFNA(VLOOKUP(O47,'Model Assumptions'!H$30:I$32,2,FALSE),0)</f>
        <v>0</v>
      </c>
      <c r="Y47" s="202">
        <f>(((($S47*$V47)+($T47*$W47)+($U47*$X47))*($G47-(VLOOKUP($D$7,'Model Assumptions'!$B$50:$O$72,2,FALSE))))/1000)*$E47</f>
        <v>0</v>
      </c>
      <c r="Z47" s="203">
        <f>(((($S47*$V47)+($T47*$W47)+($U47*$X47))*($G47-(VLOOKUP($D$7,'Model Assumptions'!$B$50:$O$72,3,FALSE))))/1000)*$E47</f>
        <v>0</v>
      </c>
      <c r="AA47" s="203">
        <f>(((($S47*$V47)+($T47*$W47)+($U47*$X47))*($G47-(VLOOKUP($D$7,'Model Assumptions'!$B$50:$O$72,4,FALSE))))/1000)*$E47</f>
        <v>0</v>
      </c>
      <c r="AB47" s="203">
        <f>(((($S47*$V47)+($T47*$W47)+($U47*$X47))*($G47-(VLOOKUP($D$7,'Model Assumptions'!$B$50:$O$72,5,FALSE))))/1000)*$E47</f>
        <v>0</v>
      </c>
      <c r="AC47" s="203">
        <f>(((($S47*$V47)+($T47*$W47)+($U47*$X47))*($G47-(VLOOKUP($D$7,'Model Assumptions'!$B$50:$O$72,6,FALSE))))/1000)*$E47</f>
        <v>0</v>
      </c>
      <c r="AD47" s="203">
        <f>(((($S47*$V47)+($T47*$W47)+($U47*$X47))*($G47-(VLOOKUP($D$7,'Model Assumptions'!$B$50:$O$72,7,FALSE))))/1000)*$E47</f>
        <v>0</v>
      </c>
      <c r="AE47" s="203">
        <f>(((($S47*$V47)+($T47*$W47)+($U47*$X47))*($G47-(VLOOKUP($D$7,'Model Assumptions'!$B$50:$O$72,8,FALSE))))/1000)*$E47</f>
        <v>0</v>
      </c>
      <c r="AF47" s="203">
        <f>(((($S47*$V47)+($T47*$W47)+($U47*$X47))*($G47-(VLOOKUP($D$7,'Model Assumptions'!$B$50:$O$72,9,FALSE))))/1000)*$E47</f>
        <v>0</v>
      </c>
      <c r="AG47" s="203">
        <f>(((($S47*$V47)+($T47*$W47)+($U47*$X47))*($G47-(VLOOKUP($D$7,'Model Assumptions'!$B$50:$O$72,10,FALSE))))/1000)*$E47</f>
        <v>0</v>
      </c>
      <c r="AH47" s="203">
        <f>(((($S47*$V47)+($T47*$W47)+($U47*$X47))*($G47-(VLOOKUP($D$7,'Model Assumptions'!$B$50:$O$72,11,FALSE))))/1000)*$E47</f>
        <v>0</v>
      </c>
      <c r="AI47" s="203">
        <f>(((($S47*$V47)+($T47*$W47)+($U47*$X47))*($G47-(VLOOKUP($D$7,'Model Assumptions'!$B$50:$O$72,12,FALSE))))/1000)*$E47</f>
        <v>0</v>
      </c>
      <c r="AJ47" s="204">
        <f>(((($S47*$V47)+($T47*$W47)+($U47*$X47))*($G47-(VLOOKUP($D$7,'Model Assumptions'!$B$50:$O$72,13,FALSE))))/1000)*$E47</f>
        <v>0</v>
      </c>
      <c r="AK47" s="193">
        <f>Y47*VLOOKUP("Hours",'Model Assumptions'!$B$50:$O$72,2,FALSE)*$H47*$I47/168</f>
        <v>0</v>
      </c>
      <c r="AL47" s="194">
        <f>Z47*VLOOKUP("Hours",'Model Assumptions'!$B$50:$O$72,3,FALSE)*$H47*$I47/168</f>
        <v>0</v>
      </c>
      <c r="AM47" s="194">
        <f>AA47*VLOOKUP("Hours",'Model Assumptions'!$B$50:$O$72,4,FALSE)*$H47*$I47/168</f>
        <v>0</v>
      </c>
      <c r="AN47" s="194">
        <f>AB47*VLOOKUP("Hours",'Model Assumptions'!$B$50:$O$72,5,FALSE)*$H47*$I47/168</f>
        <v>0</v>
      </c>
      <c r="AO47" s="194">
        <f>AC47*VLOOKUP("Hours",'Model Assumptions'!$B$50:$O$72,6,FALSE)*$H47*$I47/168</f>
        <v>0</v>
      </c>
      <c r="AP47" s="194">
        <f>AD47*VLOOKUP("Hours",'Model Assumptions'!$B$50:$O$72,7,FALSE)*$H47*$I47/168</f>
        <v>0</v>
      </c>
      <c r="AQ47" s="194">
        <f>AE47*VLOOKUP("Hours",'Model Assumptions'!$B$50:$O$72,8,FALSE)*$H47*$I47/168</f>
        <v>0</v>
      </c>
      <c r="AR47" s="194">
        <f>AF47*VLOOKUP("Hours",'Model Assumptions'!$B$50:$O$72,9,FALSE)*$H47*$I47/168</f>
        <v>0</v>
      </c>
      <c r="AS47" s="194">
        <f>AG47*VLOOKUP("Hours",'Model Assumptions'!$B$50:$O$72,10,FALSE)*$H47*$I47/168</f>
        <v>0</v>
      </c>
      <c r="AT47" s="194">
        <f>AH47*VLOOKUP("Hours",'Model Assumptions'!$B$50:$O$72,11,FALSE)*$H47*$I47/168</f>
        <v>0</v>
      </c>
      <c r="AU47" s="194">
        <f>AI47*VLOOKUP("Hours",'Model Assumptions'!$B$50:$O$72,12,FALSE)*$H47*$I47/168</f>
        <v>0</v>
      </c>
      <c r="AV47" s="195">
        <f>AJ47*VLOOKUP("Hours",'Model Assumptions'!$B$50:$O$72,13,FALSE)*$H47*$I47/168</f>
        <v>0</v>
      </c>
      <c r="AW47" s="249">
        <f t="shared" si="19"/>
        <v>0</v>
      </c>
      <c r="AX47" s="250">
        <f t="shared" si="6"/>
        <v>0</v>
      </c>
      <c r="AZ47" s="106"/>
      <c r="BA47" s="234">
        <f t="shared" si="20"/>
        <v>0</v>
      </c>
      <c r="BB47" s="234" t="str">
        <f>_xlfn.IFNA(BA47*INDEX('Bees Non-Electric Breakdown'!$E$20:$AQ$20,1,MATCH('Building Breakdown'!AZ47,'Bees Non-Electric Breakdown'!$E$7:$AQ$7,0)),"")</f>
        <v/>
      </c>
    </row>
    <row r="48" spans="2:54" x14ac:dyDescent="0.3">
      <c r="B48" s="106"/>
      <c r="C48" s="106"/>
      <c r="D48" s="115"/>
      <c r="E48" s="116"/>
      <c r="F48" s="116"/>
      <c r="G48" s="116"/>
      <c r="H48" s="116"/>
      <c r="I48" s="116"/>
      <c r="J48" s="116"/>
      <c r="K48" s="117"/>
      <c r="L48" s="116"/>
      <c r="M48" s="118"/>
      <c r="N48" s="125"/>
      <c r="O48" s="126"/>
      <c r="P48" s="117"/>
      <c r="Q48" s="261">
        <f>_xlfn.IFNA(VLOOKUP(D48,'Model Assumptions'!$B$15:$D$17,3,FALSE),0)</f>
        <v>0</v>
      </c>
      <c r="R48" s="270">
        <f t="shared" si="16"/>
        <v>0</v>
      </c>
      <c r="S48" s="271">
        <f t="shared" si="17"/>
        <v>0</v>
      </c>
      <c r="T48" s="271">
        <f>_xlfn.IFNA(((P48*(VLOOKUP($N48,'Model Assumptions'!$B$10:$C$12,2,FALSE)))/2)+$K48,0)</f>
        <v>0</v>
      </c>
      <c r="U48" s="272">
        <f t="shared" si="18"/>
        <v>0</v>
      </c>
      <c r="V48" s="262">
        <f>_xlfn.IFNA(INDEX('Model Assumptions'!$C$30:$F$38,MATCH('Building Breakdown'!$J48,'Model Assumptions'!$B$30:$B$38,0),MATCH('Building Breakdown'!V$22,'Model Assumptions'!$C$29:$F$29,0)),0)</f>
        <v>0</v>
      </c>
      <c r="W48" s="263">
        <f>_xlfn.IFNA(INDEX('Model Assumptions'!$C$30:$F$38,MATCH('Building Breakdown'!$J48,'Model Assumptions'!$B$30:$B$38,0),MATCH('Building Breakdown'!$N48,'Model Assumptions'!$C$29:$F$29,0)),0)</f>
        <v>0</v>
      </c>
      <c r="X48" s="264">
        <f>_xlfn.IFNA(VLOOKUP(O48,'Model Assumptions'!H$30:I$32,2,FALSE),0)</f>
        <v>0</v>
      </c>
      <c r="Y48" s="202">
        <f>(((($S48*$V48)+($T48*$W48)+($U48*$X48))*($G48-(VLOOKUP($D$7,'Model Assumptions'!$B$50:$O$72,2,FALSE))))/1000)*$E48</f>
        <v>0</v>
      </c>
      <c r="Z48" s="203">
        <f>(((($S48*$V48)+($T48*$W48)+($U48*$X48))*($G48-(VLOOKUP($D$7,'Model Assumptions'!$B$50:$O$72,3,FALSE))))/1000)*$E48</f>
        <v>0</v>
      </c>
      <c r="AA48" s="203">
        <f>(((($S48*$V48)+($T48*$W48)+($U48*$X48))*($G48-(VLOOKUP($D$7,'Model Assumptions'!$B$50:$O$72,4,FALSE))))/1000)*$E48</f>
        <v>0</v>
      </c>
      <c r="AB48" s="203">
        <f>(((($S48*$V48)+($T48*$W48)+($U48*$X48))*($G48-(VLOOKUP($D$7,'Model Assumptions'!$B$50:$O$72,5,FALSE))))/1000)*$E48</f>
        <v>0</v>
      </c>
      <c r="AC48" s="203">
        <f>(((($S48*$V48)+($T48*$W48)+($U48*$X48))*($G48-(VLOOKUP($D$7,'Model Assumptions'!$B$50:$O$72,6,FALSE))))/1000)*$E48</f>
        <v>0</v>
      </c>
      <c r="AD48" s="203">
        <f>(((($S48*$V48)+($T48*$W48)+($U48*$X48))*($G48-(VLOOKUP($D$7,'Model Assumptions'!$B$50:$O$72,7,FALSE))))/1000)*$E48</f>
        <v>0</v>
      </c>
      <c r="AE48" s="203">
        <f>(((($S48*$V48)+($T48*$W48)+($U48*$X48))*($G48-(VLOOKUP($D$7,'Model Assumptions'!$B$50:$O$72,8,FALSE))))/1000)*$E48</f>
        <v>0</v>
      </c>
      <c r="AF48" s="203">
        <f>(((($S48*$V48)+($T48*$W48)+($U48*$X48))*($G48-(VLOOKUP($D$7,'Model Assumptions'!$B$50:$O$72,9,FALSE))))/1000)*$E48</f>
        <v>0</v>
      </c>
      <c r="AG48" s="203">
        <f>(((($S48*$V48)+($T48*$W48)+($U48*$X48))*($G48-(VLOOKUP($D$7,'Model Assumptions'!$B$50:$O$72,10,FALSE))))/1000)*$E48</f>
        <v>0</v>
      </c>
      <c r="AH48" s="203">
        <f>(((($S48*$V48)+($T48*$W48)+($U48*$X48))*($G48-(VLOOKUP($D$7,'Model Assumptions'!$B$50:$O$72,11,FALSE))))/1000)*$E48</f>
        <v>0</v>
      </c>
      <c r="AI48" s="203">
        <f>(((($S48*$V48)+($T48*$W48)+($U48*$X48))*($G48-(VLOOKUP($D$7,'Model Assumptions'!$B$50:$O$72,12,FALSE))))/1000)*$E48</f>
        <v>0</v>
      </c>
      <c r="AJ48" s="204">
        <f>(((($S48*$V48)+($T48*$W48)+($U48*$X48))*($G48-(VLOOKUP($D$7,'Model Assumptions'!$B$50:$O$72,13,FALSE))))/1000)*$E48</f>
        <v>0</v>
      </c>
      <c r="AK48" s="193">
        <f>Y48*VLOOKUP("Hours",'Model Assumptions'!$B$50:$O$72,2,FALSE)*$H48*$I48/168</f>
        <v>0</v>
      </c>
      <c r="AL48" s="194">
        <f>Z48*VLOOKUP("Hours",'Model Assumptions'!$B$50:$O$72,3,FALSE)*$H48*$I48/168</f>
        <v>0</v>
      </c>
      <c r="AM48" s="194">
        <f>AA48*VLOOKUP("Hours",'Model Assumptions'!$B$50:$O$72,4,FALSE)*$H48*$I48/168</f>
        <v>0</v>
      </c>
      <c r="AN48" s="194">
        <f>AB48*VLOOKUP("Hours",'Model Assumptions'!$B$50:$O$72,5,FALSE)*$H48*$I48/168</f>
        <v>0</v>
      </c>
      <c r="AO48" s="194">
        <f>AC48*VLOOKUP("Hours",'Model Assumptions'!$B$50:$O$72,6,FALSE)*$H48*$I48/168</f>
        <v>0</v>
      </c>
      <c r="AP48" s="194">
        <f>AD48*VLOOKUP("Hours",'Model Assumptions'!$B$50:$O$72,7,FALSE)*$H48*$I48/168</f>
        <v>0</v>
      </c>
      <c r="AQ48" s="194">
        <f>AE48*VLOOKUP("Hours",'Model Assumptions'!$B$50:$O$72,8,FALSE)*$H48*$I48/168</f>
        <v>0</v>
      </c>
      <c r="AR48" s="194">
        <f>AF48*VLOOKUP("Hours",'Model Assumptions'!$B$50:$O$72,9,FALSE)*$H48*$I48/168</f>
        <v>0</v>
      </c>
      <c r="AS48" s="194">
        <f>AG48*VLOOKUP("Hours",'Model Assumptions'!$B$50:$O$72,10,FALSE)*$H48*$I48/168</f>
        <v>0</v>
      </c>
      <c r="AT48" s="194">
        <f>AH48*VLOOKUP("Hours",'Model Assumptions'!$B$50:$O$72,11,FALSE)*$H48*$I48/168</f>
        <v>0</v>
      </c>
      <c r="AU48" s="194">
        <f>AI48*VLOOKUP("Hours",'Model Assumptions'!$B$50:$O$72,12,FALSE)*$H48*$I48/168</f>
        <v>0</v>
      </c>
      <c r="AV48" s="195">
        <f>AJ48*VLOOKUP("Hours",'Model Assumptions'!$B$50:$O$72,13,FALSE)*$H48*$I48/168</f>
        <v>0</v>
      </c>
      <c r="AW48" s="249">
        <f t="shared" si="19"/>
        <v>0</v>
      </c>
      <c r="AX48" s="250">
        <f t="shared" si="6"/>
        <v>0</v>
      </c>
      <c r="AZ48" s="106"/>
      <c r="BA48" s="234">
        <f t="shared" si="20"/>
        <v>0</v>
      </c>
      <c r="BB48" s="234" t="str">
        <f>_xlfn.IFNA(BA48*INDEX('Bees Non-Electric Breakdown'!$E$20:$AQ$20,1,MATCH('Building Breakdown'!AZ48,'Bees Non-Electric Breakdown'!$E$7:$AQ$7,0)),"")</f>
        <v/>
      </c>
    </row>
    <row r="49" spans="2:54" x14ac:dyDescent="0.3">
      <c r="B49" s="106"/>
      <c r="C49" s="106"/>
      <c r="D49" s="115"/>
      <c r="E49" s="116"/>
      <c r="F49" s="116"/>
      <c r="G49" s="116"/>
      <c r="H49" s="116"/>
      <c r="I49" s="116"/>
      <c r="J49" s="116"/>
      <c r="K49" s="117"/>
      <c r="L49" s="116"/>
      <c r="M49" s="118"/>
      <c r="N49" s="125"/>
      <c r="O49" s="126"/>
      <c r="P49" s="117"/>
      <c r="Q49" s="261">
        <f>_xlfn.IFNA(VLOOKUP(D49,'Model Assumptions'!$B$15:$D$17,3,FALSE),0)</f>
        <v>0</v>
      </c>
      <c r="R49" s="270">
        <f t="shared" si="16"/>
        <v>0</v>
      </c>
      <c r="S49" s="271">
        <f t="shared" si="17"/>
        <v>0</v>
      </c>
      <c r="T49" s="271">
        <f>_xlfn.IFNA(((P49*(VLOOKUP($N49,'Model Assumptions'!$B$10:$C$12,2,FALSE)))/2)+$K49,0)</f>
        <v>0</v>
      </c>
      <c r="U49" s="272">
        <f t="shared" si="18"/>
        <v>0</v>
      </c>
      <c r="V49" s="262">
        <f>_xlfn.IFNA(INDEX('Model Assumptions'!$C$30:$F$38,MATCH('Building Breakdown'!$J49,'Model Assumptions'!$B$30:$B$38,0),MATCH('Building Breakdown'!V$22,'Model Assumptions'!$C$29:$F$29,0)),0)</f>
        <v>0</v>
      </c>
      <c r="W49" s="263">
        <f>_xlfn.IFNA(INDEX('Model Assumptions'!$C$30:$F$38,MATCH('Building Breakdown'!$J49,'Model Assumptions'!$B$30:$B$38,0),MATCH('Building Breakdown'!$N49,'Model Assumptions'!$C$29:$F$29,0)),0)</f>
        <v>0</v>
      </c>
      <c r="X49" s="264">
        <f>_xlfn.IFNA(VLOOKUP(O49,'Model Assumptions'!H$30:I$32,2,FALSE),0)</f>
        <v>0</v>
      </c>
      <c r="Y49" s="202">
        <f>(((($S49*$V49)+($T49*$W49)+($U49*$X49))*($G49-(VLOOKUP($D$7,'Model Assumptions'!$B$50:$O$72,2,FALSE))))/1000)*$E49</f>
        <v>0</v>
      </c>
      <c r="Z49" s="203">
        <f>(((($S49*$V49)+($T49*$W49)+($U49*$X49))*($G49-(VLOOKUP($D$7,'Model Assumptions'!$B$50:$O$72,3,FALSE))))/1000)*$E49</f>
        <v>0</v>
      </c>
      <c r="AA49" s="203">
        <f>(((($S49*$V49)+($T49*$W49)+($U49*$X49))*($G49-(VLOOKUP($D$7,'Model Assumptions'!$B$50:$O$72,4,FALSE))))/1000)*$E49</f>
        <v>0</v>
      </c>
      <c r="AB49" s="203">
        <f>(((($S49*$V49)+($T49*$W49)+($U49*$X49))*($G49-(VLOOKUP($D$7,'Model Assumptions'!$B$50:$O$72,5,FALSE))))/1000)*$E49</f>
        <v>0</v>
      </c>
      <c r="AC49" s="203">
        <f>(((($S49*$V49)+($T49*$W49)+($U49*$X49))*($G49-(VLOOKUP($D$7,'Model Assumptions'!$B$50:$O$72,6,FALSE))))/1000)*$E49</f>
        <v>0</v>
      </c>
      <c r="AD49" s="203">
        <f>(((($S49*$V49)+($T49*$W49)+($U49*$X49))*($G49-(VLOOKUP($D$7,'Model Assumptions'!$B$50:$O$72,7,FALSE))))/1000)*$E49</f>
        <v>0</v>
      </c>
      <c r="AE49" s="203">
        <f>(((($S49*$V49)+($T49*$W49)+($U49*$X49))*($G49-(VLOOKUP($D$7,'Model Assumptions'!$B$50:$O$72,8,FALSE))))/1000)*$E49</f>
        <v>0</v>
      </c>
      <c r="AF49" s="203">
        <f>(((($S49*$V49)+($T49*$W49)+($U49*$X49))*($G49-(VLOOKUP($D$7,'Model Assumptions'!$B$50:$O$72,9,FALSE))))/1000)*$E49</f>
        <v>0</v>
      </c>
      <c r="AG49" s="203">
        <f>(((($S49*$V49)+($T49*$W49)+($U49*$X49))*($G49-(VLOOKUP($D$7,'Model Assumptions'!$B$50:$O$72,10,FALSE))))/1000)*$E49</f>
        <v>0</v>
      </c>
      <c r="AH49" s="203">
        <f>(((($S49*$V49)+($T49*$W49)+($U49*$X49))*($G49-(VLOOKUP($D$7,'Model Assumptions'!$B$50:$O$72,11,FALSE))))/1000)*$E49</f>
        <v>0</v>
      </c>
      <c r="AI49" s="203">
        <f>(((($S49*$V49)+($T49*$W49)+($U49*$X49))*($G49-(VLOOKUP($D$7,'Model Assumptions'!$B$50:$O$72,12,FALSE))))/1000)*$E49</f>
        <v>0</v>
      </c>
      <c r="AJ49" s="204">
        <f>(((($S49*$V49)+($T49*$W49)+($U49*$X49))*($G49-(VLOOKUP($D$7,'Model Assumptions'!$B$50:$O$72,13,FALSE))))/1000)*$E49</f>
        <v>0</v>
      </c>
      <c r="AK49" s="193">
        <f>Y49*VLOOKUP("Hours",'Model Assumptions'!$B$50:$O$72,2,FALSE)*$H49*$I49/168</f>
        <v>0</v>
      </c>
      <c r="AL49" s="194">
        <f>Z49*VLOOKUP("Hours",'Model Assumptions'!$B$50:$O$72,3,FALSE)*$H49*$I49/168</f>
        <v>0</v>
      </c>
      <c r="AM49" s="194">
        <f>AA49*VLOOKUP("Hours",'Model Assumptions'!$B$50:$O$72,4,FALSE)*$H49*$I49/168</f>
        <v>0</v>
      </c>
      <c r="AN49" s="194">
        <f>AB49*VLOOKUP("Hours",'Model Assumptions'!$B$50:$O$72,5,FALSE)*$H49*$I49/168</f>
        <v>0</v>
      </c>
      <c r="AO49" s="194">
        <f>AC49*VLOOKUP("Hours",'Model Assumptions'!$B$50:$O$72,6,FALSE)*$H49*$I49/168</f>
        <v>0</v>
      </c>
      <c r="AP49" s="194">
        <f>AD49*VLOOKUP("Hours",'Model Assumptions'!$B$50:$O$72,7,FALSE)*$H49*$I49/168</f>
        <v>0</v>
      </c>
      <c r="AQ49" s="194">
        <f>AE49*VLOOKUP("Hours",'Model Assumptions'!$B$50:$O$72,8,FALSE)*$H49*$I49/168</f>
        <v>0</v>
      </c>
      <c r="AR49" s="194">
        <f>AF49*VLOOKUP("Hours",'Model Assumptions'!$B$50:$O$72,9,FALSE)*$H49*$I49/168</f>
        <v>0</v>
      </c>
      <c r="AS49" s="194">
        <f>AG49*VLOOKUP("Hours",'Model Assumptions'!$B$50:$O$72,10,FALSE)*$H49*$I49/168</f>
        <v>0</v>
      </c>
      <c r="AT49" s="194">
        <f>AH49*VLOOKUP("Hours",'Model Assumptions'!$B$50:$O$72,11,FALSE)*$H49*$I49/168</f>
        <v>0</v>
      </c>
      <c r="AU49" s="194">
        <f>AI49*VLOOKUP("Hours",'Model Assumptions'!$B$50:$O$72,12,FALSE)*$H49*$I49/168</f>
        <v>0</v>
      </c>
      <c r="AV49" s="195">
        <f>AJ49*VLOOKUP("Hours",'Model Assumptions'!$B$50:$O$72,13,FALSE)*$H49*$I49/168</f>
        <v>0</v>
      </c>
      <c r="AW49" s="249">
        <f t="shared" si="19"/>
        <v>0</v>
      </c>
      <c r="AX49" s="250">
        <f t="shared" si="6"/>
        <v>0</v>
      </c>
      <c r="AZ49" s="106"/>
      <c r="BA49" s="234">
        <f t="shared" si="20"/>
        <v>0</v>
      </c>
      <c r="BB49" s="234" t="str">
        <f>_xlfn.IFNA(BA49*INDEX('Bees Non-Electric Breakdown'!$E$20:$AQ$20,1,MATCH('Building Breakdown'!AZ49,'Bees Non-Electric Breakdown'!$E$7:$AQ$7,0)),"")</f>
        <v/>
      </c>
    </row>
    <row r="50" spans="2:54" x14ac:dyDescent="0.3">
      <c r="B50" s="106"/>
      <c r="C50" s="106"/>
      <c r="D50" s="115"/>
      <c r="E50" s="116"/>
      <c r="F50" s="116"/>
      <c r="G50" s="116"/>
      <c r="H50" s="116"/>
      <c r="I50" s="116"/>
      <c r="J50" s="116"/>
      <c r="K50" s="117"/>
      <c r="L50" s="116"/>
      <c r="M50" s="118"/>
      <c r="N50" s="125"/>
      <c r="O50" s="126"/>
      <c r="P50" s="117"/>
      <c r="Q50" s="261">
        <f>_xlfn.IFNA(VLOOKUP(D50,'Model Assumptions'!$B$15:$D$17,3,FALSE),0)</f>
        <v>0</v>
      </c>
      <c r="R50" s="270">
        <f t="shared" si="16"/>
        <v>0</v>
      </c>
      <c r="S50" s="271">
        <f t="shared" si="17"/>
        <v>0</v>
      </c>
      <c r="T50" s="271">
        <f>_xlfn.IFNA(((P50*(VLOOKUP($N50,'Model Assumptions'!$B$10:$C$12,2,FALSE)))/2)+$K50,0)</f>
        <v>0</v>
      </c>
      <c r="U50" s="272">
        <f t="shared" si="18"/>
        <v>0</v>
      </c>
      <c r="V50" s="262">
        <f>_xlfn.IFNA(INDEX('Model Assumptions'!$C$30:$F$38,MATCH('Building Breakdown'!$J50,'Model Assumptions'!$B$30:$B$38,0),MATCH('Building Breakdown'!V$22,'Model Assumptions'!$C$29:$F$29,0)),0)</f>
        <v>0</v>
      </c>
      <c r="W50" s="263">
        <f>_xlfn.IFNA(INDEX('Model Assumptions'!$C$30:$F$38,MATCH('Building Breakdown'!$J50,'Model Assumptions'!$B$30:$B$38,0),MATCH('Building Breakdown'!$N50,'Model Assumptions'!$C$29:$F$29,0)),0)</f>
        <v>0</v>
      </c>
      <c r="X50" s="264">
        <f>_xlfn.IFNA(VLOOKUP(O50,'Model Assumptions'!H$30:I$32,2,FALSE),0)</f>
        <v>0</v>
      </c>
      <c r="Y50" s="202">
        <f>(((($S50*$V50)+($T50*$W50)+($U50*$X50))*($G50-(VLOOKUP($D$7,'Model Assumptions'!$B$50:$O$72,2,FALSE))))/1000)*$E50</f>
        <v>0</v>
      </c>
      <c r="Z50" s="203">
        <f>(((($S50*$V50)+($T50*$W50)+($U50*$X50))*($G50-(VLOOKUP($D$7,'Model Assumptions'!$B$50:$O$72,3,FALSE))))/1000)*$E50</f>
        <v>0</v>
      </c>
      <c r="AA50" s="203">
        <f>(((($S50*$V50)+($T50*$W50)+($U50*$X50))*($G50-(VLOOKUP($D$7,'Model Assumptions'!$B$50:$O$72,4,FALSE))))/1000)*$E50</f>
        <v>0</v>
      </c>
      <c r="AB50" s="203">
        <f>(((($S50*$V50)+($T50*$W50)+($U50*$X50))*($G50-(VLOOKUP($D$7,'Model Assumptions'!$B$50:$O$72,5,FALSE))))/1000)*$E50</f>
        <v>0</v>
      </c>
      <c r="AC50" s="203">
        <f>(((($S50*$V50)+($T50*$W50)+($U50*$X50))*($G50-(VLOOKUP($D$7,'Model Assumptions'!$B$50:$O$72,6,FALSE))))/1000)*$E50</f>
        <v>0</v>
      </c>
      <c r="AD50" s="203">
        <f>(((($S50*$V50)+($T50*$W50)+($U50*$X50))*($G50-(VLOOKUP($D$7,'Model Assumptions'!$B$50:$O$72,7,FALSE))))/1000)*$E50</f>
        <v>0</v>
      </c>
      <c r="AE50" s="203">
        <f>(((($S50*$V50)+($T50*$W50)+($U50*$X50))*($G50-(VLOOKUP($D$7,'Model Assumptions'!$B$50:$O$72,8,FALSE))))/1000)*$E50</f>
        <v>0</v>
      </c>
      <c r="AF50" s="203">
        <f>(((($S50*$V50)+($T50*$W50)+($U50*$X50))*($G50-(VLOOKUP($D$7,'Model Assumptions'!$B$50:$O$72,9,FALSE))))/1000)*$E50</f>
        <v>0</v>
      </c>
      <c r="AG50" s="203">
        <f>(((($S50*$V50)+($T50*$W50)+($U50*$X50))*($G50-(VLOOKUP($D$7,'Model Assumptions'!$B$50:$O$72,10,FALSE))))/1000)*$E50</f>
        <v>0</v>
      </c>
      <c r="AH50" s="203">
        <f>(((($S50*$V50)+($T50*$W50)+($U50*$X50))*($G50-(VLOOKUP($D$7,'Model Assumptions'!$B$50:$O$72,11,FALSE))))/1000)*$E50</f>
        <v>0</v>
      </c>
      <c r="AI50" s="203">
        <f>(((($S50*$V50)+($T50*$W50)+($U50*$X50))*($G50-(VLOOKUP($D$7,'Model Assumptions'!$B$50:$O$72,12,FALSE))))/1000)*$E50</f>
        <v>0</v>
      </c>
      <c r="AJ50" s="204">
        <f>(((($S50*$V50)+($T50*$W50)+($U50*$X50))*($G50-(VLOOKUP($D$7,'Model Assumptions'!$B$50:$O$72,13,FALSE))))/1000)*$E50</f>
        <v>0</v>
      </c>
      <c r="AK50" s="193">
        <f>Y50*VLOOKUP("Hours",'Model Assumptions'!$B$50:$O$72,2,FALSE)*$H50*$I50/168</f>
        <v>0</v>
      </c>
      <c r="AL50" s="194">
        <f>Z50*VLOOKUP("Hours",'Model Assumptions'!$B$50:$O$72,3,FALSE)*$H50*$I50/168</f>
        <v>0</v>
      </c>
      <c r="AM50" s="194">
        <f>AA50*VLOOKUP("Hours",'Model Assumptions'!$B$50:$O$72,4,FALSE)*$H50*$I50/168</f>
        <v>0</v>
      </c>
      <c r="AN50" s="194">
        <f>AB50*VLOOKUP("Hours",'Model Assumptions'!$B$50:$O$72,5,FALSE)*$H50*$I50/168</f>
        <v>0</v>
      </c>
      <c r="AO50" s="194">
        <f>AC50*VLOOKUP("Hours",'Model Assumptions'!$B$50:$O$72,6,FALSE)*$H50*$I50/168</f>
        <v>0</v>
      </c>
      <c r="AP50" s="194">
        <f>AD50*VLOOKUP("Hours",'Model Assumptions'!$B$50:$O$72,7,FALSE)*$H50*$I50/168</f>
        <v>0</v>
      </c>
      <c r="AQ50" s="194">
        <f>AE50*VLOOKUP("Hours",'Model Assumptions'!$B$50:$O$72,8,FALSE)*$H50*$I50/168</f>
        <v>0</v>
      </c>
      <c r="AR50" s="194">
        <f>AF50*VLOOKUP("Hours",'Model Assumptions'!$B$50:$O$72,9,FALSE)*$H50*$I50/168</f>
        <v>0</v>
      </c>
      <c r="AS50" s="194">
        <f>AG50*VLOOKUP("Hours",'Model Assumptions'!$B$50:$O$72,10,FALSE)*$H50*$I50/168</f>
        <v>0</v>
      </c>
      <c r="AT50" s="194">
        <f>AH50*VLOOKUP("Hours",'Model Assumptions'!$B$50:$O$72,11,FALSE)*$H50*$I50/168</f>
        <v>0</v>
      </c>
      <c r="AU50" s="194">
        <f>AI50*VLOOKUP("Hours",'Model Assumptions'!$B$50:$O$72,12,FALSE)*$H50*$I50/168</f>
        <v>0</v>
      </c>
      <c r="AV50" s="195">
        <f>AJ50*VLOOKUP("Hours",'Model Assumptions'!$B$50:$O$72,13,FALSE)*$H50*$I50/168</f>
        <v>0</v>
      </c>
      <c r="AW50" s="249">
        <f t="shared" si="19"/>
        <v>0</v>
      </c>
      <c r="AX50" s="250">
        <f t="shared" si="6"/>
        <v>0</v>
      </c>
      <c r="AZ50" s="106"/>
      <c r="BA50" s="234">
        <f t="shared" si="20"/>
        <v>0</v>
      </c>
      <c r="BB50" s="234" t="str">
        <f>_xlfn.IFNA(BA50*INDEX('Bees Non-Electric Breakdown'!$E$20:$AQ$20,1,MATCH('Building Breakdown'!AZ50,'Bees Non-Electric Breakdown'!$E$7:$AQ$7,0)),"")</f>
        <v/>
      </c>
    </row>
    <row r="51" spans="2:54" x14ac:dyDescent="0.3">
      <c r="B51" s="106"/>
      <c r="C51" s="106"/>
      <c r="D51" s="115"/>
      <c r="E51" s="116"/>
      <c r="F51" s="116"/>
      <c r="G51" s="116"/>
      <c r="H51" s="116"/>
      <c r="I51" s="116"/>
      <c r="J51" s="116"/>
      <c r="K51" s="117"/>
      <c r="L51" s="116"/>
      <c r="M51" s="118"/>
      <c r="N51" s="125"/>
      <c r="O51" s="126"/>
      <c r="P51" s="117"/>
      <c r="Q51" s="261">
        <f>_xlfn.IFNA(VLOOKUP(D51,'Model Assumptions'!$B$15:$D$17,3,FALSE),0)</f>
        <v>0</v>
      </c>
      <c r="R51" s="270">
        <f t="shared" si="11"/>
        <v>0</v>
      </c>
      <c r="S51" s="271">
        <f t="shared" si="12"/>
        <v>0</v>
      </c>
      <c r="T51" s="271">
        <f>_xlfn.IFNA(((P51*(VLOOKUP($N51,'Model Assumptions'!$B$10:$C$12,2,FALSE)))/2)+$K51,0)</f>
        <v>0</v>
      </c>
      <c r="U51" s="272">
        <f t="shared" si="13"/>
        <v>0</v>
      </c>
      <c r="V51" s="262">
        <f>_xlfn.IFNA(INDEX('Model Assumptions'!$C$30:$F$38,MATCH('Building Breakdown'!$J51,'Model Assumptions'!$B$30:$B$38,0),MATCH('Building Breakdown'!V$22,'Model Assumptions'!$C$29:$F$29,0)),0)</f>
        <v>0</v>
      </c>
      <c r="W51" s="263">
        <f>_xlfn.IFNA(INDEX('Model Assumptions'!$C$30:$F$38,MATCH('Building Breakdown'!$J51,'Model Assumptions'!$B$30:$B$38,0),MATCH('Building Breakdown'!$N51,'Model Assumptions'!$C$29:$F$29,0)),0)</f>
        <v>0</v>
      </c>
      <c r="X51" s="264">
        <f>_xlfn.IFNA(VLOOKUP(O51,'Model Assumptions'!H$30:I$32,2,FALSE),0)</f>
        <v>0</v>
      </c>
      <c r="Y51" s="202">
        <f>(((($S51*$V51)+($T51*$W51)+($U51*$X51))*($G51-(VLOOKUP($D$7,'Model Assumptions'!$B$50:$O$72,2,FALSE))))/1000)*$E51</f>
        <v>0</v>
      </c>
      <c r="Z51" s="203">
        <f>(((($S51*$V51)+($T51*$W51)+($U51*$X51))*($G51-(VLOOKUP($D$7,'Model Assumptions'!$B$50:$O$72,3,FALSE))))/1000)*$E51</f>
        <v>0</v>
      </c>
      <c r="AA51" s="203">
        <f>(((($S51*$V51)+($T51*$W51)+($U51*$X51))*($G51-(VLOOKUP($D$7,'Model Assumptions'!$B$50:$O$72,4,FALSE))))/1000)*$E51</f>
        <v>0</v>
      </c>
      <c r="AB51" s="203">
        <f>(((($S51*$V51)+($T51*$W51)+($U51*$X51))*($G51-(VLOOKUP($D$7,'Model Assumptions'!$B$50:$O$72,5,FALSE))))/1000)*$E51</f>
        <v>0</v>
      </c>
      <c r="AC51" s="203">
        <f>(((($S51*$V51)+($T51*$W51)+($U51*$X51))*($G51-(VLOOKUP($D$7,'Model Assumptions'!$B$50:$O$72,6,FALSE))))/1000)*$E51</f>
        <v>0</v>
      </c>
      <c r="AD51" s="203">
        <f>(((($S51*$V51)+($T51*$W51)+($U51*$X51))*($G51-(VLOOKUP($D$7,'Model Assumptions'!$B$50:$O$72,7,FALSE))))/1000)*$E51</f>
        <v>0</v>
      </c>
      <c r="AE51" s="203">
        <f>(((($S51*$V51)+($T51*$W51)+($U51*$X51))*($G51-(VLOOKUP($D$7,'Model Assumptions'!$B$50:$O$72,8,FALSE))))/1000)*$E51</f>
        <v>0</v>
      </c>
      <c r="AF51" s="203">
        <f>(((($S51*$V51)+($T51*$W51)+($U51*$X51))*($G51-(VLOOKUP($D$7,'Model Assumptions'!$B$50:$O$72,9,FALSE))))/1000)*$E51</f>
        <v>0</v>
      </c>
      <c r="AG51" s="203">
        <f>(((($S51*$V51)+($T51*$W51)+($U51*$X51))*($G51-(VLOOKUP($D$7,'Model Assumptions'!$B$50:$O$72,10,FALSE))))/1000)*$E51</f>
        <v>0</v>
      </c>
      <c r="AH51" s="203">
        <f>(((($S51*$V51)+($T51*$W51)+($U51*$X51))*($G51-(VLOOKUP($D$7,'Model Assumptions'!$B$50:$O$72,11,FALSE))))/1000)*$E51</f>
        <v>0</v>
      </c>
      <c r="AI51" s="203">
        <f>(((($S51*$V51)+($T51*$W51)+($U51*$X51))*($G51-(VLOOKUP($D$7,'Model Assumptions'!$B$50:$O$72,12,FALSE))))/1000)*$E51</f>
        <v>0</v>
      </c>
      <c r="AJ51" s="204">
        <f>(((($S51*$V51)+($T51*$W51)+($U51*$X51))*($G51-(VLOOKUP($D$7,'Model Assumptions'!$B$50:$O$72,13,FALSE))))/1000)*$E51</f>
        <v>0</v>
      </c>
      <c r="AK51" s="193">
        <f>Y51*VLOOKUP("Hours",'Model Assumptions'!$B$50:$O$72,2,FALSE)*$H51*$I51/168</f>
        <v>0</v>
      </c>
      <c r="AL51" s="194">
        <f>Z51*VLOOKUP("Hours",'Model Assumptions'!$B$50:$O$72,3,FALSE)*$H51*$I51/168</f>
        <v>0</v>
      </c>
      <c r="AM51" s="194">
        <f>AA51*VLOOKUP("Hours",'Model Assumptions'!$B$50:$O$72,4,FALSE)*$H51*$I51/168</f>
        <v>0</v>
      </c>
      <c r="AN51" s="194">
        <f>AB51*VLOOKUP("Hours",'Model Assumptions'!$B$50:$O$72,5,FALSE)*$H51*$I51/168</f>
        <v>0</v>
      </c>
      <c r="AO51" s="194">
        <f>AC51*VLOOKUP("Hours",'Model Assumptions'!$B$50:$O$72,6,FALSE)*$H51*$I51/168</f>
        <v>0</v>
      </c>
      <c r="AP51" s="194">
        <f>AD51*VLOOKUP("Hours",'Model Assumptions'!$B$50:$O$72,7,FALSE)*$H51*$I51/168</f>
        <v>0</v>
      </c>
      <c r="AQ51" s="194">
        <f>AE51*VLOOKUP("Hours",'Model Assumptions'!$B$50:$O$72,8,FALSE)*$H51*$I51/168</f>
        <v>0</v>
      </c>
      <c r="AR51" s="194">
        <f>AF51*VLOOKUP("Hours",'Model Assumptions'!$B$50:$O$72,9,FALSE)*$H51*$I51/168</f>
        <v>0</v>
      </c>
      <c r="AS51" s="194">
        <f>AG51*VLOOKUP("Hours",'Model Assumptions'!$B$50:$O$72,10,FALSE)*$H51*$I51/168</f>
        <v>0</v>
      </c>
      <c r="AT51" s="194">
        <f>AH51*VLOOKUP("Hours",'Model Assumptions'!$B$50:$O$72,11,FALSE)*$H51*$I51/168</f>
        <v>0</v>
      </c>
      <c r="AU51" s="194">
        <f>AI51*VLOOKUP("Hours",'Model Assumptions'!$B$50:$O$72,12,FALSE)*$H51*$I51/168</f>
        <v>0</v>
      </c>
      <c r="AV51" s="195">
        <f>AJ51*VLOOKUP("Hours",'Model Assumptions'!$B$50:$O$72,13,FALSE)*$H51*$I51/168</f>
        <v>0</v>
      </c>
      <c r="AW51" s="249">
        <f t="shared" si="14"/>
        <v>0</v>
      </c>
      <c r="AX51" s="250">
        <f t="shared" si="6"/>
        <v>0</v>
      </c>
      <c r="AZ51" s="106"/>
      <c r="BA51" s="234">
        <f t="shared" si="15"/>
        <v>0</v>
      </c>
      <c r="BB51" s="234" t="str">
        <f>_xlfn.IFNA(BA51*INDEX('Bees Non-Electric Breakdown'!$E$20:$AQ$20,1,MATCH('Building Breakdown'!AZ51,'Bees Non-Electric Breakdown'!$E$7:$AQ$7,0)),"")</f>
        <v/>
      </c>
    </row>
    <row r="52" spans="2:54" x14ac:dyDescent="0.3">
      <c r="B52" s="106"/>
      <c r="C52" s="106"/>
      <c r="D52" s="115"/>
      <c r="E52" s="116"/>
      <c r="F52" s="116"/>
      <c r="G52" s="116"/>
      <c r="H52" s="116"/>
      <c r="I52" s="116"/>
      <c r="J52" s="116"/>
      <c r="K52" s="117"/>
      <c r="L52" s="116"/>
      <c r="M52" s="118"/>
      <c r="N52" s="125"/>
      <c r="O52" s="126"/>
      <c r="P52" s="117"/>
      <c r="Q52" s="261">
        <f>_xlfn.IFNA(VLOOKUP(D52,'Model Assumptions'!$B$15:$D$17,3,FALSE),0)</f>
        <v>0</v>
      </c>
      <c r="R52" s="270">
        <f t="shared" si="11"/>
        <v>0</v>
      </c>
      <c r="S52" s="271">
        <f t="shared" si="12"/>
        <v>0</v>
      </c>
      <c r="T52" s="271">
        <f>_xlfn.IFNA(((P52*(VLOOKUP($N52,'Model Assumptions'!$B$10:$C$12,2,FALSE)))/2)+$K52,0)</f>
        <v>0</v>
      </c>
      <c r="U52" s="272">
        <f t="shared" si="13"/>
        <v>0</v>
      </c>
      <c r="V52" s="262">
        <f>_xlfn.IFNA(INDEX('Model Assumptions'!$C$30:$F$38,MATCH('Building Breakdown'!$J52,'Model Assumptions'!$B$30:$B$38,0),MATCH('Building Breakdown'!V$22,'Model Assumptions'!$C$29:$F$29,0)),0)</f>
        <v>0</v>
      </c>
      <c r="W52" s="263">
        <f>_xlfn.IFNA(INDEX('Model Assumptions'!$C$30:$F$38,MATCH('Building Breakdown'!$J52,'Model Assumptions'!$B$30:$B$38,0),MATCH('Building Breakdown'!$N52,'Model Assumptions'!$C$29:$F$29,0)),0)</f>
        <v>0</v>
      </c>
      <c r="X52" s="264">
        <f>_xlfn.IFNA(VLOOKUP(O52,'Model Assumptions'!H$30:I$32,2,FALSE),0)</f>
        <v>0</v>
      </c>
      <c r="Y52" s="202">
        <f>(((($S52*$V52)+($T52*$W52)+($U52*$X52))*($G52-(VLOOKUP($D$7,'Model Assumptions'!$B$50:$O$72,2,FALSE))))/1000)*$E52</f>
        <v>0</v>
      </c>
      <c r="Z52" s="203">
        <f>(((($S52*$V52)+($T52*$W52)+($U52*$X52))*($G52-(VLOOKUP($D$7,'Model Assumptions'!$B$50:$O$72,3,FALSE))))/1000)*$E52</f>
        <v>0</v>
      </c>
      <c r="AA52" s="203">
        <f>(((($S52*$V52)+($T52*$W52)+($U52*$X52))*($G52-(VLOOKUP($D$7,'Model Assumptions'!$B$50:$O$72,4,FALSE))))/1000)*$E52</f>
        <v>0</v>
      </c>
      <c r="AB52" s="203">
        <f>(((($S52*$V52)+($T52*$W52)+($U52*$X52))*($G52-(VLOOKUP($D$7,'Model Assumptions'!$B$50:$O$72,5,FALSE))))/1000)*$E52</f>
        <v>0</v>
      </c>
      <c r="AC52" s="203">
        <f>(((($S52*$V52)+($T52*$W52)+($U52*$X52))*($G52-(VLOOKUP($D$7,'Model Assumptions'!$B$50:$O$72,6,FALSE))))/1000)*$E52</f>
        <v>0</v>
      </c>
      <c r="AD52" s="203">
        <f>(((($S52*$V52)+($T52*$W52)+($U52*$X52))*($G52-(VLOOKUP($D$7,'Model Assumptions'!$B$50:$O$72,7,FALSE))))/1000)*$E52</f>
        <v>0</v>
      </c>
      <c r="AE52" s="203">
        <f>(((($S52*$V52)+($T52*$W52)+($U52*$X52))*($G52-(VLOOKUP($D$7,'Model Assumptions'!$B$50:$O$72,8,FALSE))))/1000)*$E52</f>
        <v>0</v>
      </c>
      <c r="AF52" s="203">
        <f>(((($S52*$V52)+($T52*$W52)+($U52*$X52))*($G52-(VLOOKUP($D$7,'Model Assumptions'!$B$50:$O$72,9,FALSE))))/1000)*$E52</f>
        <v>0</v>
      </c>
      <c r="AG52" s="203">
        <f>(((($S52*$V52)+($T52*$W52)+($U52*$X52))*($G52-(VLOOKUP($D$7,'Model Assumptions'!$B$50:$O$72,10,FALSE))))/1000)*$E52</f>
        <v>0</v>
      </c>
      <c r="AH52" s="203">
        <f>(((($S52*$V52)+($T52*$W52)+($U52*$X52))*($G52-(VLOOKUP($D$7,'Model Assumptions'!$B$50:$O$72,11,FALSE))))/1000)*$E52</f>
        <v>0</v>
      </c>
      <c r="AI52" s="203">
        <f>(((($S52*$V52)+($T52*$W52)+($U52*$X52))*($G52-(VLOOKUP($D$7,'Model Assumptions'!$B$50:$O$72,12,FALSE))))/1000)*$E52</f>
        <v>0</v>
      </c>
      <c r="AJ52" s="204">
        <f>(((($S52*$V52)+($T52*$W52)+($U52*$X52))*($G52-(VLOOKUP($D$7,'Model Assumptions'!$B$50:$O$72,13,FALSE))))/1000)*$E52</f>
        <v>0</v>
      </c>
      <c r="AK52" s="193">
        <f>Y52*VLOOKUP("Hours",'Model Assumptions'!$B$50:$O$72,2,FALSE)*$H52*$I52/168</f>
        <v>0</v>
      </c>
      <c r="AL52" s="194">
        <f>Z52*VLOOKUP("Hours",'Model Assumptions'!$B$50:$O$72,3,FALSE)*$H52*$I52/168</f>
        <v>0</v>
      </c>
      <c r="AM52" s="194">
        <f>AA52*VLOOKUP("Hours",'Model Assumptions'!$B$50:$O$72,4,FALSE)*$H52*$I52/168</f>
        <v>0</v>
      </c>
      <c r="AN52" s="194">
        <f>AB52*VLOOKUP("Hours",'Model Assumptions'!$B$50:$O$72,5,FALSE)*$H52*$I52/168</f>
        <v>0</v>
      </c>
      <c r="AO52" s="194">
        <f>AC52*VLOOKUP("Hours",'Model Assumptions'!$B$50:$O$72,6,FALSE)*$H52*$I52/168</f>
        <v>0</v>
      </c>
      <c r="AP52" s="194">
        <f>AD52*VLOOKUP("Hours",'Model Assumptions'!$B$50:$O$72,7,FALSE)*$H52*$I52/168</f>
        <v>0</v>
      </c>
      <c r="AQ52" s="194">
        <f>AE52*VLOOKUP("Hours",'Model Assumptions'!$B$50:$O$72,8,FALSE)*$H52*$I52/168</f>
        <v>0</v>
      </c>
      <c r="AR52" s="194">
        <f>AF52*VLOOKUP("Hours",'Model Assumptions'!$B$50:$O$72,9,FALSE)*$H52*$I52/168</f>
        <v>0</v>
      </c>
      <c r="AS52" s="194">
        <f>AG52*VLOOKUP("Hours",'Model Assumptions'!$B$50:$O$72,10,FALSE)*$H52*$I52/168</f>
        <v>0</v>
      </c>
      <c r="AT52" s="194">
        <f>AH52*VLOOKUP("Hours",'Model Assumptions'!$B$50:$O$72,11,FALSE)*$H52*$I52/168</f>
        <v>0</v>
      </c>
      <c r="AU52" s="194">
        <f>AI52*VLOOKUP("Hours",'Model Assumptions'!$B$50:$O$72,12,FALSE)*$H52*$I52/168</f>
        <v>0</v>
      </c>
      <c r="AV52" s="195">
        <f>AJ52*VLOOKUP("Hours",'Model Assumptions'!$B$50:$O$72,13,FALSE)*$H52*$I52/168</f>
        <v>0</v>
      </c>
      <c r="AW52" s="249">
        <f t="shared" si="14"/>
        <v>0</v>
      </c>
      <c r="AX52" s="250">
        <f t="shared" si="6"/>
        <v>0</v>
      </c>
      <c r="AZ52" s="106"/>
      <c r="BA52" s="234">
        <f t="shared" si="15"/>
        <v>0</v>
      </c>
      <c r="BB52" s="234" t="str">
        <f>_xlfn.IFNA(BA52*INDEX('Bees Non-Electric Breakdown'!$E$20:$AQ$20,1,MATCH('Building Breakdown'!AZ52,'Bees Non-Electric Breakdown'!$E$7:$AQ$7,0)),"")</f>
        <v/>
      </c>
    </row>
    <row r="53" spans="2:54" x14ac:dyDescent="0.3">
      <c r="B53" s="106"/>
      <c r="C53" s="106"/>
      <c r="D53" s="115"/>
      <c r="E53" s="116"/>
      <c r="F53" s="116"/>
      <c r="G53" s="116"/>
      <c r="H53" s="116"/>
      <c r="I53" s="116"/>
      <c r="J53" s="116"/>
      <c r="K53" s="117"/>
      <c r="L53" s="116"/>
      <c r="M53" s="118"/>
      <c r="N53" s="125"/>
      <c r="O53" s="126"/>
      <c r="P53" s="117"/>
      <c r="Q53" s="261">
        <f>_xlfn.IFNA(VLOOKUP(D53,'Model Assumptions'!$B$15:$D$17,3,FALSE),0)</f>
        <v>0</v>
      </c>
      <c r="R53" s="270">
        <f t="shared" si="11"/>
        <v>0</v>
      </c>
      <c r="S53" s="271">
        <f t="shared" si="12"/>
        <v>0</v>
      </c>
      <c r="T53" s="271">
        <f>_xlfn.IFNA(((P53*(VLOOKUP($N53,'Model Assumptions'!$B$10:$C$12,2,FALSE)))/2)+$K53,0)</f>
        <v>0</v>
      </c>
      <c r="U53" s="272">
        <f t="shared" si="13"/>
        <v>0</v>
      </c>
      <c r="V53" s="262">
        <f>_xlfn.IFNA(INDEX('Model Assumptions'!$C$30:$F$38,MATCH('Building Breakdown'!$J53,'Model Assumptions'!$B$30:$B$38,0),MATCH('Building Breakdown'!V$22,'Model Assumptions'!$C$29:$F$29,0)),0)</f>
        <v>0</v>
      </c>
      <c r="W53" s="263">
        <f>_xlfn.IFNA(INDEX('Model Assumptions'!$C$30:$F$38,MATCH('Building Breakdown'!$J53,'Model Assumptions'!$B$30:$B$38,0),MATCH('Building Breakdown'!$N53,'Model Assumptions'!$C$29:$F$29,0)),0)</f>
        <v>0</v>
      </c>
      <c r="X53" s="264">
        <f>_xlfn.IFNA(VLOOKUP(O53,'Model Assumptions'!H$30:I$32,2,FALSE),0)</f>
        <v>0</v>
      </c>
      <c r="Y53" s="202">
        <f>(((($S53*$V53)+($T53*$W53)+($U53*$X53))*($G53-(VLOOKUP($D$7,'Model Assumptions'!$B$50:$O$72,2,FALSE))))/1000)*$E53</f>
        <v>0</v>
      </c>
      <c r="Z53" s="203">
        <f>(((($S53*$V53)+($T53*$W53)+($U53*$X53))*($G53-(VLOOKUP($D$7,'Model Assumptions'!$B$50:$O$72,3,FALSE))))/1000)*$E53</f>
        <v>0</v>
      </c>
      <c r="AA53" s="203">
        <f>(((($S53*$V53)+($T53*$W53)+($U53*$X53))*($G53-(VLOOKUP($D$7,'Model Assumptions'!$B$50:$O$72,4,FALSE))))/1000)*$E53</f>
        <v>0</v>
      </c>
      <c r="AB53" s="203">
        <f>(((($S53*$V53)+($T53*$W53)+($U53*$X53))*($G53-(VLOOKUP($D$7,'Model Assumptions'!$B$50:$O$72,5,FALSE))))/1000)*$E53</f>
        <v>0</v>
      </c>
      <c r="AC53" s="203">
        <f>(((($S53*$V53)+($T53*$W53)+($U53*$X53))*($G53-(VLOOKUP($D$7,'Model Assumptions'!$B$50:$O$72,6,FALSE))))/1000)*$E53</f>
        <v>0</v>
      </c>
      <c r="AD53" s="203">
        <f>(((($S53*$V53)+($T53*$W53)+($U53*$X53))*($G53-(VLOOKUP($D$7,'Model Assumptions'!$B$50:$O$72,7,FALSE))))/1000)*$E53</f>
        <v>0</v>
      </c>
      <c r="AE53" s="203">
        <f>(((($S53*$V53)+($T53*$W53)+($U53*$X53))*($G53-(VLOOKUP($D$7,'Model Assumptions'!$B$50:$O$72,8,FALSE))))/1000)*$E53</f>
        <v>0</v>
      </c>
      <c r="AF53" s="203">
        <f>(((($S53*$V53)+($T53*$W53)+($U53*$X53))*($G53-(VLOOKUP($D$7,'Model Assumptions'!$B$50:$O$72,9,FALSE))))/1000)*$E53</f>
        <v>0</v>
      </c>
      <c r="AG53" s="203">
        <f>(((($S53*$V53)+($T53*$W53)+($U53*$X53))*($G53-(VLOOKUP($D$7,'Model Assumptions'!$B$50:$O$72,10,FALSE))))/1000)*$E53</f>
        <v>0</v>
      </c>
      <c r="AH53" s="203">
        <f>(((($S53*$V53)+($T53*$W53)+($U53*$X53))*($G53-(VLOOKUP($D$7,'Model Assumptions'!$B$50:$O$72,11,FALSE))))/1000)*$E53</f>
        <v>0</v>
      </c>
      <c r="AI53" s="203">
        <f>(((($S53*$V53)+($T53*$W53)+($U53*$X53))*($G53-(VLOOKUP($D$7,'Model Assumptions'!$B$50:$O$72,12,FALSE))))/1000)*$E53</f>
        <v>0</v>
      </c>
      <c r="AJ53" s="204">
        <f>(((($S53*$V53)+($T53*$W53)+($U53*$X53))*($G53-(VLOOKUP($D$7,'Model Assumptions'!$B$50:$O$72,13,FALSE))))/1000)*$E53</f>
        <v>0</v>
      </c>
      <c r="AK53" s="193">
        <f>Y53*VLOOKUP("Hours",'Model Assumptions'!$B$50:$O$72,2,FALSE)*$H53*$I53/168</f>
        <v>0</v>
      </c>
      <c r="AL53" s="194">
        <f>Z53*VLOOKUP("Hours",'Model Assumptions'!$B$50:$O$72,3,FALSE)*$H53*$I53/168</f>
        <v>0</v>
      </c>
      <c r="AM53" s="194">
        <f>AA53*VLOOKUP("Hours",'Model Assumptions'!$B$50:$O$72,4,FALSE)*$H53*$I53/168</f>
        <v>0</v>
      </c>
      <c r="AN53" s="194">
        <f>AB53*VLOOKUP("Hours",'Model Assumptions'!$B$50:$O$72,5,FALSE)*$H53*$I53/168</f>
        <v>0</v>
      </c>
      <c r="AO53" s="194">
        <f>AC53*VLOOKUP("Hours",'Model Assumptions'!$B$50:$O$72,6,FALSE)*$H53*$I53/168</f>
        <v>0</v>
      </c>
      <c r="AP53" s="194">
        <f>AD53*VLOOKUP("Hours",'Model Assumptions'!$B$50:$O$72,7,FALSE)*$H53*$I53/168</f>
        <v>0</v>
      </c>
      <c r="AQ53" s="194">
        <f>AE53*VLOOKUP("Hours",'Model Assumptions'!$B$50:$O$72,8,FALSE)*$H53*$I53/168</f>
        <v>0</v>
      </c>
      <c r="AR53" s="194">
        <f>AF53*VLOOKUP("Hours",'Model Assumptions'!$B$50:$O$72,9,FALSE)*$H53*$I53/168</f>
        <v>0</v>
      </c>
      <c r="AS53" s="194">
        <f>AG53*VLOOKUP("Hours",'Model Assumptions'!$B$50:$O$72,10,FALSE)*$H53*$I53/168</f>
        <v>0</v>
      </c>
      <c r="AT53" s="194">
        <f>AH53*VLOOKUP("Hours",'Model Assumptions'!$B$50:$O$72,11,FALSE)*$H53*$I53/168</f>
        <v>0</v>
      </c>
      <c r="AU53" s="194">
        <f>AI53*VLOOKUP("Hours",'Model Assumptions'!$B$50:$O$72,12,FALSE)*$H53*$I53/168</f>
        <v>0</v>
      </c>
      <c r="AV53" s="195">
        <f>AJ53*VLOOKUP("Hours",'Model Assumptions'!$B$50:$O$72,13,FALSE)*$H53*$I53/168</f>
        <v>0</v>
      </c>
      <c r="AW53" s="249">
        <f t="shared" si="14"/>
        <v>0</v>
      </c>
      <c r="AX53" s="250">
        <f t="shared" si="6"/>
        <v>0</v>
      </c>
      <c r="AZ53" s="106"/>
      <c r="BA53" s="234">
        <f t="shared" si="15"/>
        <v>0</v>
      </c>
      <c r="BB53" s="234" t="str">
        <f>_xlfn.IFNA(BA53*INDEX('Bees Non-Electric Breakdown'!$E$20:$AQ$20,1,MATCH('Building Breakdown'!AZ53,'Bees Non-Electric Breakdown'!$E$7:$AQ$7,0)),"")</f>
        <v/>
      </c>
    </row>
    <row r="54" spans="2:54" x14ac:dyDescent="0.3">
      <c r="B54" s="106"/>
      <c r="C54" s="106"/>
      <c r="D54" s="115"/>
      <c r="E54" s="116"/>
      <c r="F54" s="116"/>
      <c r="G54" s="116"/>
      <c r="H54" s="116"/>
      <c r="I54" s="116"/>
      <c r="J54" s="116"/>
      <c r="K54" s="117"/>
      <c r="L54" s="116"/>
      <c r="M54" s="118"/>
      <c r="N54" s="125"/>
      <c r="O54" s="126"/>
      <c r="P54" s="117"/>
      <c r="Q54" s="261">
        <f>_xlfn.IFNA(VLOOKUP(D54,'Model Assumptions'!$B$15:$D$17,3,FALSE),0)</f>
        <v>0</v>
      </c>
      <c r="R54" s="270">
        <f t="shared" si="11"/>
        <v>0</v>
      </c>
      <c r="S54" s="271">
        <f t="shared" si="12"/>
        <v>0</v>
      </c>
      <c r="T54" s="271">
        <f>_xlfn.IFNA(((P54*(VLOOKUP($N54,'Model Assumptions'!$B$10:$C$12,2,FALSE)))/2)+$K54,0)</f>
        <v>0</v>
      </c>
      <c r="U54" s="272">
        <f t="shared" si="13"/>
        <v>0</v>
      </c>
      <c r="V54" s="262">
        <f>_xlfn.IFNA(INDEX('Model Assumptions'!$C$30:$F$38,MATCH('Building Breakdown'!$J54,'Model Assumptions'!$B$30:$B$38,0),MATCH('Building Breakdown'!V$22,'Model Assumptions'!$C$29:$F$29,0)),0)</f>
        <v>0</v>
      </c>
      <c r="W54" s="263">
        <f>_xlfn.IFNA(INDEX('Model Assumptions'!$C$30:$F$38,MATCH('Building Breakdown'!$J54,'Model Assumptions'!$B$30:$B$38,0),MATCH('Building Breakdown'!$N54,'Model Assumptions'!$C$29:$F$29,0)),0)</f>
        <v>0</v>
      </c>
      <c r="X54" s="264">
        <f>_xlfn.IFNA(VLOOKUP(O54,'Model Assumptions'!H$30:I$32,2,FALSE),0)</f>
        <v>0</v>
      </c>
      <c r="Y54" s="202">
        <f>(((($S54*$V54)+($T54*$W54)+($U54*$X54))*($G54-(VLOOKUP($D$7,'Model Assumptions'!$B$50:$O$72,2,FALSE))))/1000)*$E54</f>
        <v>0</v>
      </c>
      <c r="Z54" s="203">
        <f>(((($S54*$V54)+($T54*$W54)+($U54*$X54))*($G54-(VLOOKUP($D$7,'Model Assumptions'!$B$50:$O$72,3,FALSE))))/1000)*$E54</f>
        <v>0</v>
      </c>
      <c r="AA54" s="203">
        <f>(((($S54*$V54)+($T54*$W54)+($U54*$X54))*($G54-(VLOOKUP($D$7,'Model Assumptions'!$B$50:$O$72,4,FALSE))))/1000)*$E54</f>
        <v>0</v>
      </c>
      <c r="AB54" s="203">
        <f>(((($S54*$V54)+($T54*$W54)+($U54*$X54))*($G54-(VLOOKUP($D$7,'Model Assumptions'!$B$50:$O$72,5,FALSE))))/1000)*$E54</f>
        <v>0</v>
      </c>
      <c r="AC54" s="203">
        <f>(((($S54*$V54)+($T54*$W54)+($U54*$X54))*($G54-(VLOOKUP($D$7,'Model Assumptions'!$B$50:$O$72,6,FALSE))))/1000)*$E54</f>
        <v>0</v>
      </c>
      <c r="AD54" s="203">
        <f>(((($S54*$V54)+($T54*$W54)+($U54*$X54))*($G54-(VLOOKUP($D$7,'Model Assumptions'!$B$50:$O$72,7,FALSE))))/1000)*$E54</f>
        <v>0</v>
      </c>
      <c r="AE54" s="203">
        <f>(((($S54*$V54)+($T54*$W54)+($U54*$X54))*($G54-(VLOOKUP($D$7,'Model Assumptions'!$B$50:$O$72,8,FALSE))))/1000)*$E54</f>
        <v>0</v>
      </c>
      <c r="AF54" s="203">
        <f>(((($S54*$V54)+($T54*$W54)+($U54*$X54))*($G54-(VLOOKUP($D$7,'Model Assumptions'!$B$50:$O$72,9,FALSE))))/1000)*$E54</f>
        <v>0</v>
      </c>
      <c r="AG54" s="203">
        <f>(((($S54*$V54)+($T54*$W54)+($U54*$X54))*($G54-(VLOOKUP($D$7,'Model Assumptions'!$B$50:$O$72,10,FALSE))))/1000)*$E54</f>
        <v>0</v>
      </c>
      <c r="AH54" s="203">
        <f>(((($S54*$V54)+($T54*$W54)+($U54*$X54))*($G54-(VLOOKUP($D$7,'Model Assumptions'!$B$50:$O$72,11,FALSE))))/1000)*$E54</f>
        <v>0</v>
      </c>
      <c r="AI54" s="203">
        <f>(((($S54*$V54)+($T54*$W54)+($U54*$X54))*($G54-(VLOOKUP($D$7,'Model Assumptions'!$B$50:$O$72,12,FALSE))))/1000)*$E54</f>
        <v>0</v>
      </c>
      <c r="AJ54" s="204">
        <f>(((($S54*$V54)+($T54*$W54)+($U54*$X54))*($G54-(VLOOKUP($D$7,'Model Assumptions'!$B$50:$O$72,13,FALSE))))/1000)*$E54</f>
        <v>0</v>
      </c>
      <c r="AK54" s="193">
        <f>Y54*VLOOKUP("Hours",'Model Assumptions'!$B$50:$O$72,2,FALSE)*$H54*$I54/168</f>
        <v>0</v>
      </c>
      <c r="AL54" s="194">
        <f>Z54*VLOOKUP("Hours",'Model Assumptions'!$B$50:$O$72,3,FALSE)*$H54*$I54/168</f>
        <v>0</v>
      </c>
      <c r="AM54" s="194">
        <f>AA54*VLOOKUP("Hours",'Model Assumptions'!$B$50:$O$72,4,FALSE)*$H54*$I54/168</f>
        <v>0</v>
      </c>
      <c r="AN54" s="194">
        <f>AB54*VLOOKUP("Hours",'Model Assumptions'!$B$50:$O$72,5,FALSE)*$H54*$I54/168</f>
        <v>0</v>
      </c>
      <c r="AO54" s="194">
        <f>AC54*VLOOKUP("Hours",'Model Assumptions'!$B$50:$O$72,6,FALSE)*$H54*$I54/168</f>
        <v>0</v>
      </c>
      <c r="AP54" s="194">
        <f>AD54*VLOOKUP("Hours",'Model Assumptions'!$B$50:$O$72,7,FALSE)*$H54*$I54/168</f>
        <v>0</v>
      </c>
      <c r="AQ54" s="194">
        <f>AE54*VLOOKUP("Hours",'Model Assumptions'!$B$50:$O$72,8,FALSE)*$H54*$I54/168</f>
        <v>0</v>
      </c>
      <c r="AR54" s="194">
        <f>AF54*VLOOKUP("Hours",'Model Assumptions'!$B$50:$O$72,9,FALSE)*$H54*$I54/168</f>
        <v>0</v>
      </c>
      <c r="AS54" s="194">
        <f>AG54*VLOOKUP("Hours",'Model Assumptions'!$B$50:$O$72,10,FALSE)*$H54*$I54/168</f>
        <v>0</v>
      </c>
      <c r="AT54" s="194">
        <f>AH54*VLOOKUP("Hours",'Model Assumptions'!$B$50:$O$72,11,FALSE)*$H54*$I54/168</f>
        <v>0</v>
      </c>
      <c r="AU54" s="194">
        <f>AI54*VLOOKUP("Hours",'Model Assumptions'!$B$50:$O$72,12,FALSE)*$H54*$I54/168</f>
        <v>0</v>
      </c>
      <c r="AV54" s="195">
        <f>AJ54*VLOOKUP("Hours",'Model Assumptions'!$B$50:$O$72,13,FALSE)*$H54*$I54/168</f>
        <v>0</v>
      </c>
      <c r="AW54" s="249">
        <f t="shared" si="14"/>
        <v>0</v>
      </c>
      <c r="AX54" s="250">
        <f t="shared" si="6"/>
        <v>0</v>
      </c>
      <c r="AZ54" s="106"/>
      <c r="BA54" s="234">
        <f t="shared" si="15"/>
        <v>0</v>
      </c>
      <c r="BB54" s="234" t="str">
        <f>_xlfn.IFNA(BA54*INDEX('Bees Non-Electric Breakdown'!$E$20:$AQ$20,1,MATCH('Building Breakdown'!AZ54,'Bees Non-Electric Breakdown'!$E$7:$AQ$7,0)),"")</f>
        <v/>
      </c>
    </row>
    <row r="55" spans="2:54" x14ac:dyDescent="0.3">
      <c r="B55" s="106"/>
      <c r="C55" s="106"/>
      <c r="D55" s="115"/>
      <c r="E55" s="116"/>
      <c r="F55" s="116"/>
      <c r="G55" s="116"/>
      <c r="H55" s="116"/>
      <c r="I55" s="116"/>
      <c r="J55" s="116"/>
      <c r="K55" s="117"/>
      <c r="L55" s="116"/>
      <c r="M55" s="118"/>
      <c r="N55" s="125"/>
      <c r="O55" s="126"/>
      <c r="P55" s="117"/>
      <c r="Q55" s="261">
        <f>_xlfn.IFNA(VLOOKUP(D55,'Model Assumptions'!$B$15:$D$17,3,FALSE),0)</f>
        <v>0</v>
      </c>
      <c r="R55" s="270">
        <f t="shared" si="11"/>
        <v>0</v>
      </c>
      <c r="S55" s="271">
        <f t="shared" si="12"/>
        <v>0</v>
      </c>
      <c r="T55" s="271">
        <f>_xlfn.IFNA(((P55*(VLOOKUP($N55,'Model Assumptions'!$B$10:$C$12,2,FALSE)))/2)+$K55,0)</f>
        <v>0</v>
      </c>
      <c r="U55" s="272">
        <f t="shared" si="13"/>
        <v>0</v>
      </c>
      <c r="V55" s="262">
        <f>_xlfn.IFNA(INDEX('Model Assumptions'!$C$30:$F$38,MATCH('Building Breakdown'!$J55,'Model Assumptions'!$B$30:$B$38,0),MATCH('Building Breakdown'!V$22,'Model Assumptions'!$C$29:$F$29,0)),0)</f>
        <v>0</v>
      </c>
      <c r="W55" s="263">
        <f>_xlfn.IFNA(INDEX('Model Assumptions'!$C$30:$F$38,MATCH('Building Breakdown'!$J55,'Model Assumptions'!$B$30:$B$38,0),MATCH('Building Breakdown'!$N55,'Model Assumptions'!$C$29:$F$29,0)),0)</f>
        <v>0</v>
      </c>
      <c r="X55" s="264">
        <f>_xlfn.IFNA(VLOOKUP(O55,'Model Assumptions'!H$30:I$32,2,FALSE),0)</f>
        <v>0</v>
      </c>
      <c r="Y55" s="202">
        <f>(((($S55*$V55)+($T55*$W55)+($U55*$X55))*($G55-(VLOOKUP($D$7,'Model Assumptions'!$B$50:$O$72,2,FALSE))))/1000)*$E55</f>
        <v>0</v>
      </c>
      <c r="Z55" s="203">
        <f>(((($S55*$V55)+($T55*$W55)+($U55*$X55))*($G55-(VLOOKUP($D$7,'Model Assumptions'!$B$50:$O$72,3,FALSE))))/1000)*$E55</f>
        <v>0</v>
      </c>
      <c r="AA55" s="203">
        <f>(((($S55*$V55)+($T55*$W55)+($U55*$X55))*($G55-(VLOOKUP($D$7,'Model Assumptions'!$B$50:$O$72,4,FALSE))))/1000)*$E55</f>
        <v>0</v>
      </c>
      <c r="AB55" s="203">
        <f>(((($S55*$V55)+($T55*$W55)+($U55*$X55))*($G55-(VLOOKUP($D$7,'Model Assumptions'!$B$50:$O$72,5,FALSE))))/1000)*$E55</f>
        <v>0</v>
      </c>
      <c r="AC55" s="203">
        <f>(((($S55*$V55)+($T55*$W55)+($U55*$X55))*($G55-(VLOOKUP($D$7,'Model Assumptions'!$B$50:$O$72,6,FALSE))))/1000)*$E55</f>
        <v>0</v>
      </c>
      <c r="AD55" s="203">
        <f>(((($S55*$V55)+($T55*$W55)+($U55*$X55))*($G55-(VLOOKUP($D$7,'Model Assumptions'!$B$50:$O$72,7,FALSE))))/1000)*$E55</f>
        <v>0</v>
      </c>
      <c r="AE55" s="203">
        <f>(((($S55*$V55)+($T55*$W55)+($U55*$X55))*($G55-(VLOOKUP($D$7,'Model Assumptions'!$B$50:$O$72,8,FALSE))))/1000)*$E55</f>
        <v>0</v>
      </c>
      <c r="AF55" s="203">
        <f>(((($S55*$V55)+($T55*$W55)+($U55*$X55))*($G55-(VLOOKUP($D$7,'Model Assumptions'!$B$50:$O$72,9,FALSE))))/1000)*$E55</f>
        <v>0</v>
      </c>
      <c r="AG55" s="203">
        <f>(((($S55*$V55)+($T55*$W55)+($U55*$X55))*($G55-(VLOOKUP($D$7,'Model Assumptions'!$B$50:$O$72,10,FALSE))))/1000)*$E55</f>
        <v>0</v>
      </c>
      <c r="AH55" s="203">
        <f>(((($S55*$V55)+($T55*$W55)+($U55*$X55))*($G55-(VLOOKUP($D$7,'Model Assumptions'!$B$50:$O$72,11,FALSE))))/1000)*$E55</f>
        <v>0</v>
      </c>
      <c r="AI55" s="203">
        <f>(((($S55*$V55)+($T55*$W55)+($U55*$X55))*($G55-(VLOOKUP($D$7,'Model Assumptions'!$B$50:$O$72,12,FALSE))))/1000)*$E55</f>
        <v>0</v>
      </c>
      <c r="AJ55" s="204">
        <f>(((($S55*$V55)+($T55*$W55)+($U55*$X55))*($G55-(VLOOKUP($D$7,'Model Assumptions'!$B$50:$O$72,13,FALSE))))/1000)*$E55</f>
        <v>0</v>
      </c>
      <c r="AK55" s="193">
        <f>Y55*VLOOKUP("Hours",'Model Assumptions'!$B$50:$O$72,2,FALSE)*$H55*$I55/168</f>
        <v>0</v>
      </c>
      <c r="AL55" s="194">
        <f>Z55*VLOOKUP("Hours",'Model Assumptions'!$B$50:$O$72,3,FALSE)*$H55*$I55/168</f>
        <v>0</v>
      </c>
      <c r="AM55" s="194">
        <f>AA55*VLOOKUP("Hours",'Model Assumptions'!$B$50:$O$72,4,FALSE)*$H55*$I55/168</f>
        <v>0</v>
      </c>
      <c r="AN55" s="194">
        <f>AB55*VLOOKUP("Hours",'Model Assumptions'!$B$50:$O$72,5,FALSE)*$H55*$I55/168</f>
        <v>0</v>
      </c>
      <c r="AO55" s="194">
        <f>AC55*VLOOKUP("Hours",'Model Assumptions'!$B$50:$O$72,6,FALSE)*$H55*$I55/168</f>
        <v>0</v>
      </c>
      <c r="AP55" s="194">
        <f>AD55*VLOOKUP("Hours",'Model Assumptions'!$B$50:$O$72,7,FALSE)*$H55*$I55/168</f>
        <v>0</v>
      </c>
      <c r="AQ55" s="194">
        <f>AE55*VLOOKUP("Hours",'Model Assumptions'!$B$50:$O$72,8,FALSE)*$H55*$I55/168</f>
        <v>0</v>
      </c>
      <c r="AR55" s="194">
        <f>AF55*VLOOKUP("Hours",'Model Assumptions'!$B$50:$O$72,9,FALSE)*$H55*$I55/168</f>
        <v>0</v>
      </c>
      <c r="AS55" s="194">
        <f>AG55*VLOOKUP("Hours",'Model Assumptions'!$B$50:$O$72,10,FALSE)*$H55*$I55/168</f>
        <v>0</v>
      </c>
      <c r="AT55" s="194">
        <f>AH55*VLOOKUP("Hours",'Model Assumptions'!$B$50:$O$72,11,FALSE)*$H55*$I55/168</f>
        <v>0</v>
      </c>
      <c r="AU55" s="194">
        <f>AI55*VLOOKUP("Hours",'Model Assumptions'!$B$50:$O$72,12,FALSE)*$H55*$I55/168</f>
        <v>0</v>
      </c>
      <c r="AV55" s="195">
        <f>AJ55*VLOOKUP("Hours",'Model Assumptions'!$B$50:$O$72,13,FALSE)*$H55*$I55/168</f>
        <v>0</v>
      </c>
      <c r="AW55" s="249">
        <f t="shared" si="14"/>
        <v>0</v>
      </c>
      <c r="AX55" s="250">
        <f t="shared" si="6"/>
        <v>0</v>
      </c>
      <c r="AZ55" s="106"/>
      <c r="BA55" s="234">
        <f t="shared" si="15"/>
        <v>0</v>
      </c>
      <c r="BB55" s="234" t="str">
        <f>_xlfn.IFNA(BA55*INDEX('Bees Non-Electric Breakdown'!$E$20:$AQ$20,1,MATCH('Building Breakdown'!AZ55,'Bees Non-Electric Breakdown'!$E$7:$AQ$7,0)),"")</f>
        <v/>
      </c>
    </row>
    <row r="56" spans="2:54" x14ac:dyDescent="0.3">
      <c r="B56" s="106"/>
      <c r="C56" s="106"/>
      <c r="D56" s="115"/>
      <c r="E56" s="116"/>
      <c r="F56" s="116"/>
      <c r="G56" s="116"/>
      <c r="H56" s="116"/>
      <c r="I56" s="116"/>
      <c r="J56" s="116"/>
      <c r="K56" s="117"/>
      <c r="L56" s="116"/>
      <c r="M56" s="118"/>
      <c r="N56" s="125"/>
      <c r="O56" s="126"/>
      <c r="P56" s="117"/>
      <c r="Q56" s="261">
        <f>_xlfn.IFNA(VLOOKUP(D56,'Model Assumptions'!$B$15:$D$17,3,FALSE),0)</f>
        <v>0</v>
      </c>
      <c r="R56" s="270">
        <f t="shared" si="11"/>
        <v>0</v>
      </c>
      <c r="S56" s="271">
        <f t="shared" si="12"/>
        <v>0</v>
      </c>
      <c r="T56" s="271">
        <f>_xlfn.IFNA(((P56*(VLOOKUP($N56,'Model Assumptions'!$B$10:$C$12,2,FALSE)))/2)+$K56,0)</f>
        <v>0</v>
      </c>
      <c r="U56" s="272">
        <f t="shared" si="13"/>
        <v>0</v>
      </c>
      <c r="V56" s="262">
        <f>_xlfn.IFNA(INDEX('Model Assumptions'!$C$30:$F$38,MATCH('Building Breakdown'!$J56,'Model Assumptions'!$B$30:$B$38,0),MATCH('Building Breakdown'!V$22,'Model Assumptions'!$C$29:$F$29,0)),0)</f>
        <v>0</v>
      </c>
      <c r="W56" s="263">
        <f>_xlfn.IFNA(INDEX('Model Assumptions'!$C$30:$F$38,MATCH('Building Breakdown'!$J56,'Model Assumptions'!$B$30:$B$38,0),MATCH('Building Breakdown'!$N56,'Model Assumptions'!$C$29:$F$29,0)),0)</f>
        <v>0</v>
      </c>
      <c r="X56" s="264">
        <f>_xlfn.IFNA(VLOOKUP(O56,'Model Assumptions'!H$30:I$32,2,FALSE),0)</f>
        <v>0</v>
      </c>
      <c r="Y56" s="202">
        <f>(((($S56*$V56)+($T56*$W56)+($U56*$X56))*($G56-(VLOOKUP($D$7,'Model Assumptions'!$B$50:$O$72,2,FALSE))))/1000)*$E56</f>
        <v>0</v>
      </c>
      <c r="Z56" s="203">
        <f>(((($S56*$V56)+($T56*$W56)+($U56*$X56))*($G56-(VLOOKUP($D$7,'Model Assumptions'!$B$50:$O$72,3,FALSE))))/1000)*$E56</f>
        <v>0</v>
      </c>
      <c r="AA56" s="203">
        <f>(((($S56*$V56)+($T56*$W56)+($U56*$X56))*($G56-(VLOOKUP($D$7,'Model Assumptions'!$B$50:$O$72,4,FALSE))))/1000)*$E56</f>
        <v>0</v>
      </c>
      <c r="AB56" s="203">
        <f>(((($S56*$V56)+($T56*$W56)+($U56*$X56))*($G56-(VLOOKUP($D$7,'Model Assumptions'!$B$50:$O$72,5,FALSE))))/1000)*$E56</f>
        <v>0</v>
      </c>
      <c r="AC56" s="203">
        <f>(((($S56*$V56)+($T56*$W56)+($U56*$X56))*($G56-(VLOOKUP($D$7,'Model Assumptions'!$B$50:$O$72,6,FALSE))))/1000)*$E56</f>
        <v>0</v>
      </c>
      <c r="AD56" s="203">
        <f>(((($S56*$V56)+($T56*$W56)+($U56*$X56))*($G56-(VLOOKUP($D$7,'Model Assumptions'!$B$50:$O$72,7,FALSE))))/1000)*$E56</f>
        <v>0</v>
      </c>
      <c r="AE56" s="203">
        <f>(((($S56*$V56)+($T56*$W56)+($U56*$X56))*($G56-(VLOOKUP($D$7,'Model Assumptions'!$B$50:$O$72,8,FALSE))))/1000)*$E56</f>
        <v>0</v>
      </c>
      <c r="AF56" s="203">
        <f>(((($S56*$V56)+($T56*$W56)+($U56*$X56))*($G56-(VLOOKUP($D$7,'Model Assumptions'!$B$50:$O$72,9,FALSE))))/1000)*$E56</f>
        <v>0</v>
      </c>
      <c r="AG56" s="203">
        <f>(((($S56*$V56)+($T56*$W56)+($U56*$X56))*($G56-(VLOOKUP($D$7,'Model Assumptions'!$B$50:$O$72,10,FALSE))))/1000)*$E56</f>
        <v>0</v>
      </c>
      <c r="AH56" s="203">
        <f>(((($S56*$V56)+($T56*$W56)+($U56*$X56))*($G56-(VLOOKUP($D$7,'Model Assumptions'!$B$50:$O$72,11,FALSE))))/1000)*$E56</f>
        <v>0</v>
      </c>
      <c r="AI56" s="203">
        <f>(((($S56*$V56)+($T56*$W56)+($U56*$X56))*($G56-(VLOOKUP($D$7,'Model Assumptions'!$B$50:$O$72,12,FALSE))))/1000)*$E56</f>
        <v>0</v>
      </c>
      <c r="AJ56" s="204">
        <f>(((($S56*$V56)+($T56*$W56)+($U56*$X56))*($G56-(VLOOKUP($D$7,'Model Assumptions'!$B$50:$O$72,13,FALSE))))/1000)*$E56</f>
        <v>0</v>
      </c>
      <c r="AK56" s="193">
        <f>Y56*VLOOKUP("Hours",'Model Assumptions'!$B$50:$O$72,2,FALSE)*$H56*$I56/168</f>
        <v>0</v>
      </c>
      <c r="AL56" s="194">
        <f>Z56*VLOOKUP("Hours",'Model Assumptions'!$B$50:$O$72,3,FALSE)*$H56*$I56/168</f>
        <v>0</v>
      </c>
      <c r="AM56" s="194">
        <f>AA56*VLOOKUP("Hours",'Model Assumptions'!$B$50:$O$72,4,FALSE)*$H56*$I56/168</f>
        <v>0</v>
      </c>
      <c r="AN56" s="194">
        <f>AB56*VLOOKUP("Hours",'Model Assumptions'!$B$50:$O$72,5,FALSE)*$H56*$I56/168</f>
        <v>0</v>
      </c>
      <c r="AO56" s="194">
        <f>AC56*VLOOKUP("Hours",'Model Assumptions'!$B$50:$O$72,6,FALSE)*$H56*$I56/168</f>
        <v>0</v>
      </c>
      <c r="AP56" s="194">
        <f>AD56*VLOOKUP("Hours",'Model Assumptions'!$B$50:$O$72,7,FALSE)*$H56*$I56/168</f>
        <v>0</v>
      </c>
      <c r="AQ56" s="194">
        <f>AE56*VLOOKUP("Hours",'Model Assumptions'!$B$50:$O$72,8,FALSE)*$H56*$I56/168</f>
        <v>0</v>
      </c>
      <c r="AR56" s="194">
        <f>AF56*VLOOKUP("Hours",'Model Assumptions'!$B$50:$O$72,9,FALSE)*$H56*$I56/168</f>
        <v>0</v>
      </c>
      <c r="AS56" s="194">
        <f>AG56*VLOOKUP("Hours",'Model Assumptions'!$B$50:$O$72,10,FALSE)*$H56*$I56/168</f>
        <v>0</v>
      </c>
      <c r="AT56" s="194">
        <f>AH56*VLOOKUP("Hours",'Model Assumptions'!$B$50:$O$72,11,FALSE)*$H56*$I56/168</f>
        <v>0</v>
      </c>
      <c r="AU56" s="194">
        <f>AI56*VLOOKUP("Hours",'Model Assumptions'!$B$50:$O$72,12,FALSE)*$H56*$I56/168</f>
        <v>0</v>
      </c>
      <c r="AV56" s="195">
        <f>AJ56*VLOOKUP("Hours",'Model Assumptions'!$B$50:$O$72,13,FALSE)*$H56*$I56/168</f>
        <v>0</v>
      </c>
      <c r="AW56" s="249">
        <f t="shared" si="14"/>
        <v>0</v>
      </c>
      <c r="AX56" s="250">
        <f t="shared" ref="AX56:AX76" si="21">AW56*$D$8</f>
        <v>0</v>
      </c>
      <c r="AZ56" s="106"/>
      <c r="BA56" s="234">
        <f t="shared" si="15"/>
        <v>0</v>
      </c>
      <c r="BB56" s="234" t="str">
        <f>_xlfn.IFNA(BA56*INDEX('Bees Non-Electric Breakdown'!$E$20:$AQ$20,1,MATCH('Building Breakdown'!AZ56,'Bees Non-Electric Breakdown'!$E$7:$AQ$7,0)),"")</f>
        <v/>
      </c>
    </row>
    <row r="57" spans="2:54" x14ac:dyDescent="0.3">
      <c r="B57" s="106"/>
      <c r="C57" s="106"/>
      <c r="D57" s="115"/>
      <c r="E57" s="116"/>
      <c r="F57" s="116"/>
      <c r="G57" s="116"/>
      <c r="H57" s="116"/>
      <c r="I57" s="116"/>
      <c r="J57" s="116"/>
      <c r="K57" s="117"/>
      <c r="L57" s="116"/>
      <c r="M57" s="118"/>
      <c r="N57" s="125"/>
      <c r="O57" s="126"/>
      <c r="P57" s="117"/>
      <c r="Q57" s="261">
        <f>_xlfn.IFNA(VLOOKUP(D57,'Model Assumptions'!$B$15:$D$17,3,FALSE),0)</f>
        <v>0</v>
      </c>
      <c r="R57" s="270">
        <f t="shared" si="11"/>
        <v>0</v>
      </c>
      <c r="S57" s="271">
        <f t="shared" si="12"/>
        <v>0</v>
      </c>
      <c r="T57" s="271">
        <f>_xlfn.IFNA(((P57*(VLOOKUP($N57,'Model Assumptions'!$B$10:$C$12,2,FALSE)))/2)+$K57,0)</f>
        <v>0</v>
      </c>
      <c r="U57" s="272">
        <f t="shared" si="13"/>
        <v>0</v>
      </c>
      <c r="V57" s="262">
        <f>_xlfn.IFNA(INDEX('Model Assumptions'!$C$30:$F$38,MATCH('Building Breakdown'!$J57,'Model Assumptions'!$B$30:$B$38,0),MATCH('Building Breakdown'!V$22,'Model Assumptions'!$C$29:$F$29,0)),0)</f>
        <v>0</v>
      </c>
      <c r="W57" s="263">
        <f>_xlfn.IFNA(INDEX('Model Assumptions'!$C$30:$F$38,MATCH('Building Breakdown'!$J57,'Model Assumptions'!$B$30:$B$38,0),MATCH('Building Breakdown'!$N57,'Model Assumptions'!$C$29:$F$29,0)),0)</f>
        <v>0</v>
      </c>
      <c r="X57" s="264">
        <f>_xlfn.IFNA(VLOOKUP(O57,'Model Assumptions'!H$30:I$32,2,FALSE),0)</f>
        <v>0</v>
      </c>
      <c r="Y57" s="202">
        <f>(((($S57*$V57)+($T57*$W57)+($U57*$X57))*($G57-(VLOOKUP($D$7,'Model Assumptions'!$B$50:$O$72,2,FALSE))))/1000)*$E57</f>
        <v>0</v>
      </c>
      <c r="Z57" s="203">
        <f>(((($S57*$V57)+($T57*$W57)+($U57*$X57))*($G57-(VLOOKUP($D$7,'Model Assumptions'!$B$50:$O$72,3,FALSE))))/1000)*$E57</f>
        <v>0</v>
      </c>
      <c r="AA57" s="203">
        <f>(((($S57*$V57)+($T57*$W57)+($U57*$X57))*($G57-(VLOOKUP($D$7,'Model Assumptions'!$B$50:$O$72,4,FALSE))))/1000)*$E57</f>
        <v>0</v>
      </c>
      <c r="AB57" s="203">
        <f>(((($S57*$V57)+($T57*$W57)+($U57*$X57))*($G57-(VLOOKUP($D$7,'Model Assumptions'!$B$50:$O$72,5,FALSE))))/1000)*$E57</f>
        <v>0</v>
      </c>
      <c r="AC57" s="203">
        <f>(((($S57*$V57)+($T57*$W57)+($U57*$X57))*($G57-(VLOOKUP($D$7,'Model Assumptions'!$B$50:$O$72,6,FALSE))))/1000)*$E57</f>
        <v>0</v>
      </c>
      <c r="AD57" s="203">
        <f>(((($S57*$V57)+($T57*$W57)+($U57*$X57))*($G57-(VLOOKUP($D$7,'Model Assumptions'!$B$50:$O$72,7,FALSE))))/1000)*$E57</f>
        <v>0</v>
      </c>
      <c r="AE57" s="203">
        <f>(((($S57*$V57)+($T57*$W57)+($U57*$X57))*($G57-(VLOOKUP($D$7,'Model Assumptions'!$B$50:$O$72,8,FALSE))))/1000)*$E57</f>
        <v>0</v>
      </c>
      <c r="AF57" s="203">
        <f>(((($S57*$V57)+($T57*$W57)+($U57*$X57))*($G57-(VLOOKUP($D$7,'Model Assumptions'!$B$50:$O$72,9,FALSE))))/1000)*$E57</f>
        <v>0</v>
      </c>
      <c r="AG57" s="203">
        <f>(((($S57*$V57)+($T57*$W57)+($U57*$X57))*($G57-(VLOOKUP($D$7,'Model Assumptions'!$B$50:$O$72,10,FALSE))))/1000)*$E57</f>
        <v>0</v>
      </c>
      <c r="AH57" s="203">
        <f>(((($S57*$V57)+($T57*$W57)+($U57*$X57))*($G57-(VLOOKUP($D$7,'Model Assumptions'!$B$50:$O$72,11,FALSE))))/1000)*$E57</f>
        <v>0</v>
      </c>
      <c r="AI57" s="203">
        <f>(((($S57*$V57)+($T57*$W57)+($U57*$X57))*($G57-(VLOOKUP($D$7,'Model Assumptions'!$B$50:$O$72,12,FALSE))))/1000)*$E57</f>
        <v>0</v>
      </c>
      <c r="AJ57" s="204">
        <f>(((($S57*$V57)+($T57*$W57)+($U57*$X57))*($G57-(VLOOKUP($D$7,'Model Assumptions'!$B$50:$O$72,13,FALSE))))/1000)*$E57</f>
        <v>0</v>
      </c>
      <c r="AK57" s="193">
        <f>Y57*VLOOKUP("Hours",'Model Assumptions'!$B$50:$O$72,2,FALSE)*$H57*$I57/168</f>
        <v>0</v>
      </c>
      <c r="AL57" s="194">
        <f>Z57*VLOOKUP("Hours",'Model Assumptions'!$B$50:$O$72,3,FALSE)*$H57*$I57/168</f>
        <v>0</v>
      </c>
      <c r="AM57" s="194">
        <f>AA57*VLOOKUP("Hours",'Model Assumptions'!$B$50:$O$72,4,FALSE)*$H57*$I57/168</f>
        <v>0</v>
      </c>
      <c r="AN57" s="194">
        <f>AB57*VLOOKUP("Hours",'Model Assumptions'!$B$50:$O$72,5,FALSE)*$H57*$I57/168</f>
        <v>0</v>
      </c>
      <c r="AO57" s="194">
        <f>AC57*VLOOKUP("Hours",'Model Assumptions'!$B$50:$O$72,6,FALSE)*$H57*$I57/168</f>
        <v>0</v>
      </c>
      <c r="AP57" s="194">
        <f>AD57*VLOOKUP("Hours",'Model Assumptions'!$B$50:$O$72,7,FALSE)*$H57*$I57/168</f>
        <v>0</v>
      </c>
      <c r="AQ57" s="194">
        <f>AE57*VLOOKUP("Hours",'Model Assumptions'!$B$50:$O$72,8,FALSE)*$H57*$I57/168</f>
        <v>0</v>
      </c>
      <c r="AR57" s="194">
        <f>AF57*VLOOKUP("Hours",'Model Assumptions'!$B$50:$O$72,9,FALSE)*$H57*$I57/168</f>
        <v>0</v>
      </c>
      <c r="AS57" s="194">
        <f>AG57*VLOOKUP("Hours",'Model Assumptions'!$B$50:$O$72,10,FALSE)*$H57*$I57/168</f>
        <v>0</v>
      </c>
      <c r="AT57" s="194">
        <f>AH57*VLOOKUP("Hours",'Model Assumptions'!$B$50:$O$72,11,FALSE)*$H57*$I57/168</f>
        <v>0</v>
      </c>
      <c r="AU57" s="194">
        <f>AI57*VLOOKUP("Hours",'Model Assumptions'!$B$50:$O$72,12,FALSE)*$H57*$I57/168</f>
        <v>0</v>
      </c>
      <c r="AV57" s="195">
        <f>AJ57*VLOOKUP("Hours",'Model Assumptions'!$B$50:$O$72,13,FALSE)*$H57*$I57/168</f>
        <v>0</v>
      </c>
      <c r="AW57" s="249">
        <f t="shared" si="14"/>
        <v>0</v>
      </c>
      <c r="AX57" s="250">
        <f t="shared" si="21"/>
        <v>0</v>
      </c>
      <c r="AZ57" s="106"/>
      <c r="BA57" s="234">
        <f t="shared" si="15"/>
        <v>0</v>
      </c>
      <c r="BB57" s="234" t="str">
        <f>_xlfn.IFNA(BA57*INDEX('Bees Non-Electric Breakdown'!$E$20:$AQ$20,1,MATCH('Building Breakdown'!AZ57,'Bees Non-Electric Breakdown'!$E$7:$AQ$7,0)),"")</f>
        <v/>
      </c>
    </row>
    <row r="58" spans="2:54" x14ac:dyDescent="0.3">
      <c r="B58" s="106"/>
      <c r="C58" s="106"/>
      <c r="D58" s="115"/>
      <c r="E58" s="116"/>
      <c r="F58" s="116"/>
      <c r="G58" s="116"/>
      <c r="H58" s="116"/>
      <c r="I58" s="116"/>
      <c r="J58" s="116"/>
      <c r="K58" s="117"/>
      <c r="L58" s="116"/>
      <c r="M58" s="118"/>
      <c r="N58" s="125"/>
      <c r="O58" s="126"/>
      <c r="P58" s="117"/>
      <c r="Q58" s="261">
        <f>_xlfn.IFNA(VLOOKUP(D58,'Model Assumptions'!$B$15:$D$17,3,FALSE),0)</f>
        <v>0</v>
      </c>
      <c r="R58" s="270">
        <f t="shared" si="11"/>
        <v>0</v>
      </c>
      <c r="S58" s="271">
        <f t="shared" si="12"/>
        <v>0</v>
      </c>
      <c r="T58" s="271">
        <f>_xlfn.IFNA(((P58*(VLOOKUP($N58,'Model Assumptions'!$B$10:$C$12,2,FALSE)))/2)+$K58,0)</f>
        <v>0</v>
      </c>
      <c r="U58" s="272">
        <f t="shared" si="13"/>
        <v>0</v>
      </c>
      <c r="V58" s="262">
        <f>_xlfn.IFNA(INDEX('Model Assumptions'!$C$30:$F$38,MATCH('Building Breakdown'!$J58,'Model Assumptions'!$B$30:$B$38,0),MATCH('Building Breakdown'!V$22,'Model Assumptions'!$C$29:$F$29,0)),0)</f>
        <v>0</v>
      </c>
      <c r="W58" s="263">
        <f>_xlfn.IFNA(INDEX('Model Assumptions'!$C$30:$F$38,MATCH('Building Breakdown'!$J58,'Model Assumptions'!$B$30:$B$38,0),MATCH('Building Breakdown'!$N58,'Model Assumptions'!$C$29:$F$29,0)),0)</f>
        <v>0</v>
      </c>
      <c r="X58" s="264">
        <f>_xlfn.IFNA(VLOOKUP(O58,'Model Assumptions'!H$30:I$32,2,FALSE),0)</f>
        <v>0</v>
      </c>
      <c r="Y58" s="202">
        <f>(((($S58*$V58)+($T58*$W58)+($U58*$X58))*($G58-(VLOOKUP($D$7,'Model Assumptions'!$B$50:$O$72,2,FALSE))))/1000)*$E58</f>
        <v>0</v>
      </c>
      <c r="Z58" s="203">
        <f>(((($S58*$V58)+($T58*$W58)+($U58*$X58))*($G58-(VLOOKUP($D$7,'Model Assumptions'!$B$50:$O$72,3,FALSE))))/1000)*$E58</f>
        <v>0</v>
      </c>
      <c r="AA58" s="203">
        <f>(((($S58*$V58)+($T58*$W58)+($U58*$X58))*($G58-(VLOOKUP($D$7,'Model Assumptions'!$B$50:$O$72,4,FALSE))))/1000)*$E58</f>
        <v>0</v>
      </c>
      <c r="AB58" s="203">
        <f>(((($S58*$V58)+($T58*$W58)+($U58*$X58))*($G58-(VLOOKUP($D$7,'Model Assumptions'!$B$50:$O$72,5,FALSE))))/1000)*$E58</f>
        <v>0</v>
      </c>
      <c r="AC58" s="203">
        <f>(((($S58*$V58)+($T58*$W58)+($U58*$X58))*($G58-(VLOOKUP($D$7,'Model Assumptions'!$B$50:$O$72,6,FALSE))))/1000)*$E58</f>
        <v>0</v>
      </c>
      <c r="AD58" s="203">
        <f>(((($S58*$V58)+($T58*$W58)+($U58*$X58))*($G58-(VLOOKUP($D$7,'Model Assumptions'!$B$50:$O$72,7,FALSE))))/1000)*$E58</f>
        <v>0</v>
      </c>
      <c r="AE58" s="203">
        <f>(((($S58*$V58)+($T58*$W58)+($U58*$X58))*($G58-(VLOOKUP($D$7,'Model Assumptions'!$B$50:$O$72,8,FALSE))))/1000)*$E58</f>
        <v>0</v>
      </c>
      <c r="AF58" s="203">
        <f>(((($S58*$V58)+($T58*$W58)+($U58*$X58))*($G58-(VLOOKUP($D$7,'Model Assumptions'!$B$50:$O$72,9,FALSE))))/1000)*$E58</f>
        <v>0</v>
      </c>
      <c r="AG58" s="203">
        <f>(((($S58*$V58)+($T58*$W58)+($U58*$X58))*($G58-(VLOOKUP($D$7,'Model Assumptions'!$B$50:$O$72,10,FALSE))))/1000)*$E58</f>
        <v>0</v>
      </c>
      <c r="AH58" s="203">
        <f>(((($S58*$V58)+($T58*$W58)+($U58*$X58))*($G58-(VLOOKUP($D$7,'Model Assumptions'!$B$50:$O$72,11,FALSE))))/1000)*$E58</f>
        <v>0</v>
      </c>
      <c r="AI58" s="203">
        <f>(((($S58*$V58)+($T58*$W58)+($U58*$X58))*($G58-(VLOOKUP($D$7,'Model Assumptions'!$B$50:$O$72,12,FALSE))))/1000)*$E58</f>
        <v>0</v>
      </c>
      <c r="AJ58" s="204">
        <f>(((($S58*$V58)+($T58*$W58)+($U58*$X58))*($G58-(VLOOKUP($D$7,'Model Assumptions'!$B$50:$O$72,13,FALSE))))/1000)*$E58</f>
        <v>0</v>
      </c>
      <c r="AK58" s="193">
        <f>Y58*VLOOKUP("Hours",'Model Assumptions'!$B$50:$O$72,2,FALSE)*$H58*$I58/168</f>
        <v>0</v>
      </c>
      <c r="AL58" s="194">
        <f>Z58*VLOOKUP("Hours",'Model Assumptions'!$B$50:$O$72,3,FALSE)*$H58*$I58/168</f>
        <v>0</v>
      </c>
      <c r="AM58" s="194">
        <f>AA58*VLOOKUP("Hours",'Model Assumptions'!$B$50:$O$72,4,FALSE)*$H58*$I58/168</f>
        <v>0</v>
      </c>
      <c r="AN58" s="194">
        <f>AB58*VLOOKUP("Hours",'Model Assumptions'!$B$50:$O$72,5,FALSE)*$H58*$I58/168</f>
        <v>0</v>
      </c>
      <c r="AO58" s="194">
        <f>AC58*VLOOKUP("Hours",'Model Assumptions'!$B$50:$O$72,6,FALSE)*$H58*$I58/168</f>
        <v>0</v>
      </c>
      <c r="AP58" s="194">
        <f>AD58*VLOOKUP("Hours",'Model Assumptions'!$B$50:$O$72,7,FALSE)*$H58*$I58/168</f>
        <v>0</v>
      </c>
      <c r="AQ58" s="194">
        <f>AE58*VLOOKUP("Hours",'Model Assumptions'!$B$50:$O$72,8,FALSE)*$H58*$I58/168</f>
        <v>0</v>
      </c>
      <c r="AR58" s="194">
        <f>AF58*VLOOKUP("Hours",'Model Assumptions'!$B$50:$O$72,9,FALSE)*$H58*$I58/168</f>
        <v>0</v>
      </c>
      <c r="AS58" s="194">
        <f>AG58*VLOOKUP("Hours",'Model Assumptions'!$B$50:$O$72,10,FALSE)*$H58*$I58/168</f>
        <v>0</v>
      </c>
      <c r="AT58" s="194">
        <f>AH58*VLOOKUP("Hours",'Model Assumptions'!$B$50:$O$72,11,FALSE)*$H58*$I58/168</f>
        <v>0</v>
      </c>
      <c r="AU58" s="194">
        <f>AI58*VLOOKUP("Hours",'Model Assumptions'!$B$50:$O$72,12,FALSE)*$H58*$I58/168</f>
        <v>0</v>
      </c>
      <c r="AV58" s="195">
        <f>AJ58*VLOOKUP("Hours",'Model Assumptions'!$B$50:$O$72,13,FALSE)*$H58*$I58/168</f>
        <v>0</v>
      </c>
      <c r="AW58" s="249">
        <f t="shared" si="14"/>
        <v>0</v>
      </c>
      <c r="AX58" s="250">
        <f t="shared" si="21"/>
        <v>0</v>
      </c>
      <c r="AZ58" s="106"/>
      <c r="BA58" s="234">
        <f t="shared" si="15"/>
        <v>0</v>
      </c>
      <c r="BB58" s="234" t="str">
        <f>_xlfn.IFNA(BA58*INDEX('Bees Non-Electric Breakdown'!$E$20:$AQ$20,1,MATCH('Building Breakdown'!AZ58,'Bees Non-Electric Breakdown'!$E$7:$AQ$7,0)),"")</f>
        <v/>
      </c>
    </row>
    <row r="59" spans="2:54" x14ac:dyDescent="0.3">
      <c r="B59" s="106"/>
      <c r="C59" s="106"/>
      <c r="D59" s="115"/>
      <c r="E59" s="116"/>
      <c r="F59" s="116"/>
      <c r="G59" s="116"/>
      <c r="H59" s="116"/>
      <c r="I59" s="116"/>
      <c r="J59" s="116"/>
      <c r="K59" s="117"/>
      <c r="L59" s="116"/>
      <c r="M59" s="118"/>
      <c r="N59" s="125"/>
      <c r="O59" s="126"/>
      <c r="P59" s="117"/>
      <c r="Q59" s="261">
        <f>_xlfn.IFNA(VLOOKUP(D59,'Model Assumptions'!$B$15:$D$17,3,FALSE),0)</f>
        <v>0</v>
      </c>
      <c r="R59" s="270">
        <f t="shared" si="11"/>
        <v>0</v>
      </c>
      <c r="S59" s="271">
        <f t="shared" si="12"/>
        <v>0</v>
      </c>
      <c r="T59" s="271">
        <f>_xlfn.IFNA(((P59*(VLOOKUP($N59,'Model Assumptions'!$B$10:$C$12,2,FALSE)))/2)+$K59,0)</f>
        <v>0</v>
      </c>
      <c r="U59" s="272">
        <f t="shared" si="13"/>
        <v>0</v>
      </c>
      <c r="V59" s="262">
        <f>_xlfn.IFNA(INDEX('Model Assumptions'!$C$30:$F$38,MATCH('Building Breakdown'!$J59,'Model Assumptions'!$B$30:$B$38,0),MATCH('Building Breakdown'!V$22,'Model Assumptions'!$C$29:$F$29,0)),0)</f>
        <v>0</v>
      </c>
      <c r="W59" s="263">
        <f>_xlfn.IFNA(INDEX('Model Assumptions'!$C$30:$F$38,MATCH('Building Breakdown'!$J59,'Model Assumptions'!$B$30:$B$38,0),MATCH('Building Breakdown'!$N59,'Model Assumptions'!$C$29:$F$29,0)),0)</f>
        <v>0</v>
      </c>
      <c r="X59" s="264">
        <f>_xlfn.IFNA(VLOOKUP(O59,'Model Assumptions'!H$30:I$32,2,FALSE),0)</f>
        <v>0</v>
      </c>
      <c r="Y59" s="202">
        <f>(((($S59*$V59)+($T59*$W59)+($U59*$X59))*($G59-(VLOOKUP($D$7,'Model Assumptions'!$B$50:$O$72,2,FALSE))))/1000)*$E59</f>
        <v>0</v>
      </c>
      <c r="Z59" s="203">
        <f>(((($S59*$V59)+($T59*$W59)+($U59*$X59))*($G59-(VLOOKUP($D$7,'Model Assumptions'!$B$50:$O$72,3,FALSE))))/1000)*$E59</f>
        <v>0</v>
      </c>
      <c r="AA59" s="203">
        <f>(((($S59*$V59)+($T59*$W59)+($U59*$X59))*($G59-(VLOOKUP($D$7,'Model Assumptions'!$B$50:$O$72,4,FALSE))))/1000)*$E59</f>
        <v>0</v>
      </c>
      <c r="AB59" s="203">
        <f>(((($S59*$V59)+($T59*$W59)+($U59*$X59))*($G59-(VLOOKUP($D$7,'Model Assumptions'!$B$50:$O$72,5,FALSE))))/1000)*$E59</f>
        <v>0</v>
      </c>
      <c r="AC59" s="203">
        <f>(((($S59*$V59)+($T59*$W59)+($U59*$X59))*($G59-(VLOOKUP($D$7,'Model Assumptions'!$B$50:$O$72,6,FALSE))))/1000)*$E59</f>
        <v>0</v>
      </c>
      <c r="AD59" s="203">
        <f>(((($S59*$V59)+($T59*$W59)+($U59*$X59))*($G59-(VLOOKUP($D$7,'Model Assumptions'!$B$50:$O$72,7,FALSE))))/1000)*$E59</f>
        <v>0</v>
      </c>
      <c r="AE59" s="203">
        <f>(((($S59*$V59)+($T59*$W59)+($U59*$X59))*($G59-(VLOOKUP($D$7,'Model Assumptions'!$B$50:$O$72,8,FALSE))))/1000)*$E59</f>
        <v>0</v>
      </c>
      <c r="AF59" s="203">
        <f>(((($S59*$V59)+($T59*$W59)+($U59*$X59))*($G59-(VLOOKUP($D$7,'Model Assumptions'!$B$50:$O$72,9,FALSE))))/1000)*$E59</f>
        <v>0</v>
      </c>
      <c r="AG59" s="203">
        <f>(((($S59*$V59)+($T59*$W59)+($U59*$X59))*($G59-(VLOOKUP($D$7,'Model Assumptions'!$B$50:$O$72,10,FALSE))))/1000)*$E59</f>
        <v>0</v>
      </c>
      <c r="AH59" s="203">
        <f>(((($S59*$V59)+($T59*$W59)+($U59*$X59))*($G59-(VLOOKUP($D$7,'Model Assumptions'!$B$50:$O$72,11,FALSE))))/1000)*$E59</f>
        <v>0</v>
      </c>
      <c r="AI59" s="203">
        <f>(((($S59*$V59)+($T59*$W59)+($U59*$X59))*($G59-(VLOOKUP($D$7,'Model Assumptions'!$B$50:$O$72,12,FALSE))))/1000)*$E59</f>
        <v>0</v>
      </c>
      <c r="AJ59" s="204">
        <f>(((($S59*$V59)+($T59*$W59)+($U59*$X59))*($G59-(VLOOKUP($D$7,'Model Assumptions'!$B$50:$O$72,13,FALSE))))/1000)*$E59</f>
        <v>0</v>
      </c>
      <c r="AK59" s="193">
        <f>Y59*VLOOKUP("Hours",'Model Assumptions'!$B$50:$O$72,2,FALSE)*$H59*$I59/168</f>
        <v>0</v>
      </c>
      <c r="AL59" s="194">
        <f>Z59*VLOOKUP("Hours",'Model Assumptions'!$B$50:$O$72,3,FALSE)*$H59*$I59/168</f>
        <v>0</v>
      </c>
      <c r="AM59" s="194">
        <f>AA59*VLOOKUP("Hours",'Model Assumptions'!$B$50:$O$72,4,FALSE)*$H59*$I59/168</f>
        <v>0</v>
      </c>
      <c r="AN59" s="194">
        <f>AB59*VLOOKUP("Hours",'Model Assumptions'!$B$50:$O$72,5,FALSE)*$H59*$I59/168</f>
        <v>0</v>
      </c>
      <c r="AO59" s="194">
        <f>AC59*VLOOKUP("Hours",'Model Assumptions'!$B$50:$O$72,6,FALSE)*$H59*$I59/168</f>
        <v>0</v>
      </c>
      <c r="AP59" s="194">
        <f>AD59*VLOOKUP("Hours",'Model Assumptions'!$B$50:$O$72,7,FALSE)*$H59*$I59/168</f>
        <v>0</v>
      </c>
      <c r="AQ59" s="194">
        <f>AE59*VLOOKUP("Hours",'Model Assumptions'!$B$50:$O$72,8,FALSE)*$H59*$I59/168</f>
        <v>0</v>
      </c>
      <c r="AR59" s="194">
        <f>AF59*VLOOKUP("Hours",'Model Assumptions'!$B$50:$O$72,9,FALSE)*$H59*$I59/168</f>
        <v>0</v>
      </c>
      <c r="AS59" s="194">
        <f>AG59*VLOOKUP("Hours",'Model Assumptions'!$B$50:$O$72,10,FALSE)*$H59*$I59/168</f>
        <v>0</v>
      </c>
      <c r="AT59" s="194">
        <f>AH59*VLOOKUP("Hours",'Model Assumptions'!$B$50:$O$72,11,FALSE)*$H59*$I59/168</f>
        <v>0</v>
      </c>
      <c r="AU59" s="194">
        <f>AI59*VLOOKUP("Hours",'Model Assumptions'!$B$50:$O$72,12,FALSE)*$H59*$I59/168</f>
        <v>0</v>
      </c>
      <c r="AV59" s="195">
        <f>AJ59*VLOOKUP("Hours",'Model Assumptions'!$B$50:$O$72,13,FALSE)*$H59*$I59/168</f>
        <v>0</v>
      </c>
      <c r="AW59" s="249">
        <f t="shared" si="14"/>
        <v>0</v>
      </c>
      <c r="AX59" s="250">
        <f t="shared" si="21"/>
        <v>0</v>
      </c>
      <c r="AZ59" s="106"/>
      <c r="BA59" s="234">
        <f t="shared" si="15"/>
        <v>0</v>
      </c>
      <c r="BB59" s="234" t="str">
        <f>_xlfn.IFNA(BA59*INDEX('Bees Non-Electric Breakdown'!$E$20:$AQ$20,1,MATCH('Building Breakdown'!AZ59,'Bees Non-Electric Breakdown'!$E$7:$AQ$7,0)),"")</f>
        <v/>
      </c>
    </row>
    <row r="60" spans="2:54" x14ac:dyDescent="0.3">
      <c r="B60" s="106"/>
      <c r="C60" s="106"/>
      <c r="D60" s="115"/>
      <c r="E60" s="116"/>
      <c r="F60" s="116"/>
      <c r="G60" s="116"/>
      <c r="H60" s="116"/>
      <c r="I60" s="116"/>
      <c r="J60" s="116"/>
      <c r="K60" s="117"/>
      <c r="L60" s="116"/>
      <c r="M60" s="118"/>
      <c r="N60" s="125"/>
      <c r="O60" s="126"/>
      <c r="P60" s="117"/>
      <c r="Q60" s="261">
        <f>_xlfn.IFNA(VLOOKUP(D60,'Model Assumptions'!$B$15:$D$17,3,FALSE),0)</f>
        <v>0</v>
      </c>
      <c r="R60" s="270">
        <f t="shared" si="11"/>
        <v>0</v>
      </c>
      <c r="S60" s="271">
        <f t="shared" si="12"/>
        <v>0</v>
      </c>
      <c r="T60" s="271">
        <f>_xlfn.IFNA(((P60*(VLOOKUP($N60,'Model Assumptions'!$B$10:$C$12,2,FALSE)))/2)+$K60,0)</f>
        <v>0</v>
      </c>
      <c r="U60" s="272">
        <f t="shared" si="13"/>
        <v>0</v>
      </c>
      <c r="V60" s="262">
        <f>_xlfn.IFNA(INDEX('Model Assumptions'!$C$30:$F$38,MATCH('Building Breakdown'!$J60,'Model Assumptions'!$B$30:$B$38,0),MATCH('Building Breakdown'!V$22,'Model Assumptions'!$C$29:$F$29,0)),0)</f>
        <v>0</v>
      </c>
      <c r="W60" s="263">
        <f>_xlfn.IFNA(INDEX('Model Assumptions'!$C$30:$F$38,MATCH('Building Breakdown'!$J60,'Model Assumptions'!$B$30:$B$38,0),MATCH('Building Breakdown'!$N60,'Model Assumptions'!$C$29:$F$29,0)),0)</f>
        <v>0</v>
      </c>
      <c r="X60" s="264">
        <f>_xlfn.IFNA(VLOOKUP(O60,'Model Assumptions'!H$30:I$32,2,FALSE),0)</f>
        <v>0</v>
      </c>
      <c r="Y60" s="202">
        <f>(((($S60*$V60)+($T60*$W60)+($U60*$X60))*($G60-(VLOOKUP($D$7,'Model Assumptions'!$B$50:$O$72,2,FALSE))))/1000)*$E60</f>
        <v>0</v>
      </c>
      <c r="Z60" s="203">
        <f>(((($S60*$V60)+($T60*$W60)+($U60*$X60))*($G60-(VLOOKUP($D$7,'Model Assumptions'!$B$50:$O$72,3,FALSE))))/1000)*$E60</f>
        <v>0</v>
      </c>
      <c r="AA60" s="203">
        <f>(((($S60*$V60)+($T60*$W60)+($U60*$X60))*($G60-(VLOOKUP($D$7,'Model Assumptions'!$B$50:$O$72,4,FALSE))))/1000)*$E60</f>
        <v>0</v>
      </c>
      <c r="AB60" s="203">
        <f>(((($S60*$V60)+($T60*$W60)+($U60*$X60))*($G60-(VLOOKUP($D$7,'Model Assumptions'!$B$50:$O$72,5,FALSE))))/1000)*$E60</f>
        <v>0</v>
      </c>
      <c r="AC60" s="203">
        <f>(((($S60*$V60)+($T60*$W60)+($U60*$X60))*($G60-(VLOOKUP($D$7,'Model Assumptions'!$B$50:$O$72,6,FALSE))))/1000)*$E60</f>
        <v>0</v>
      </c>
      <c r="AD60" s="203">
        <f>(((($S60*$V60)+($T60*$W60)+($U60*$X60))*($G60-(VLOOKUP($D$7,'Model Assumptions'!$B$50:$O$72,7,FALSE))))/1000)*$E60</f>
        <v>0</v>
      </c>
      <c r="AE60" s="203">
        <f>(((($S60*$V60)+($T60*$W60)+($U60*$X60))*($G60-(VLOOKUP($D$7,'Model Assumptions'!$B$50:$O$72,8,FALSE))))/1000)*$E60</f>
        <v>0</v>
      </c>
      <c r="AF60" s="203">
        <f>(((($S60*$V60)+($T60*$W60)+($U60*$X60))*($G60-(VLOOKUP($D$7,'Model Assumptions'!$B$50:$O$72,9,FALSE))))/1000)*$E60</f>
        <v>0</v>
      </c>
      <c r="AG60" s="203">
        <f>(((($S60*$V60)+($T60*$W60)+($U60*$X60))*($G60-(VLOOKUP($D$7,'Model Assumptions'!$B$50:$O$72,10,FALSE))))/1000)*$E60</f>
        <v>0</v>
      </c>
      <c r="AH60" s="203">
        <f>(((($S60*$V60)+($T60*$W60)+($U60*$X60))*($G60-(VLOOKUP($D$7,'Model Assumptions'!$B$50:$O$72,11,FALSE))))/1000)*$E60</f>
        <v>0</v>
      </c>
      <c r="AI60" s="203">
        <f>(((($S60*$V60)+($T60*$W60)+($U60*$X60))*($G60-(VLOOKUP($D$7,'Model Assumptions'!$B$50:$O$72,12,FALSE))))/1000)*$E60</f>
        <v>0</v>
      </c>
      <c r="AJ60" s="204">
        <f>(((($S60*$V60)+($T60*$W60)+($U60*$X60))*($G60-(VLOOKUP($D$7,'Model Assumptions'!$B$50:$O$72,13,FALSE))))/1000)*$E60</f>
        <v>0</v>
      </c>
      <c r="AK60" s="193">
        <f>Y60*VLOOKUP("Hours",'Model Assumptions'!$B$50:$O$72,2,FALSE)*$H60*$I60/168</f>
        <v>0</v>
      </c>
      <c r="AL60" s="194">
        <f>Z60*VLOOKUP("Hours",'Model Assumptions'!$B$50:$O$72,3,FALSE)*$H60*$I60/168</f>
        <v>0</v>
      </c>
      <c r="AM60" s="194">
        <f>AA60*VLOOKUP("Hours",'Model Assumptions'!$B$50:$O$72,4,FALSE)*$H60*$I60/168</f>
        <v>0</v>
      </c>
      <c r="AN60" s="194">
        <f>AB60*VLOOKUP("Hours",'Model Assumptions'!$B$50:$O$72,5,FALSE)*$H60*$I60/168</f>
        <v>0</v>
      </c>
      <c r="AO60" s="194">
        <f>AC60*VLOOKUP("Hours",'Model Assumptions'!$B$50:$O$72,6,FALSE)*$H60*$I60/168</f>
        <v>0</v>
      </c>
      <c r="AP60" s="194">
        <f>AD60*VLOOKUP("Hours",'Model Assumptions'!$B$50:$O$72,7,FALSE)*$H60*$I60/168</f>
        <v>0</v>
      </c>
      <c r="AQ60" s="194">
        <f>AE60*VLOOKUP("Hours",'Model Assumptions'!$B$50:$O$72,8,FALSE)*$H60*$I60/168</f>
        <v>0</v>
      </c>
      <c r="AR60" s="194">
        <f>AF60*VLOOKUP("Hours",'Model Assumptions'!$B$50:$O$72,9,FALSE)*$H60*$I60/168</f>
        <v>0</v>
      </c>
      <c r="AS60" s="194">
        <f>AG60*VLOOKUP("Hours",'Model Assumptions'!$B$50:$O$72,10,FALSE)*$H60*$I60/168</f>
        <v>0</v>
      </c>
      <c r="AT60" s="194">
        <f>AH60*VLOOKUP("Hours",'Model Assumptions'!$B$50:$O$72,11,FALSE)*$H60*$I60/168</f>
        <v>0</v>
      </c>
      <c r="AU60" s="194">
        <f>AI60*VLOOKUP("Hours",'Model Assumptions'!$B$50:$O$72,12,FALSE)*$H60*$I60/168</f>
        <v>0</v>
      </c>
      <c r="AV60" s="195">
        <f>AJ60*VLOOKUP("Hours",'Model Assumptions'!$B$50:$O$72,13,FALSE)*$H60*$I60/168</f>
        <v>0</v>
      </c>
      <c r="AW60" s="249">
        <f t="shared" si="14"/>
        <v>0</v>
      </c>
      <c r="AX60" s="250">
        <f t="shared" si="21"/>
        <v>0</v>
      </c>
      <c r="AZ60" s="106"/>
      <c r="BA60" s="234">
        <f t="shared" si="15"/>
        <v>0</v>
      </c>
      <c r="BB60" s="234" t="str">
        <f>_xlfn.IFNA(BA60*INDEX('Bees Non-Electric Breakdown'!$E$20:$AQ$20,1,MATCH('Building Breakdown'!AZ60,'Bees Non-Electric Breakdown'!$E$7:$AQ$7,0)),"")</f>
        <v/>
      </c>
    </row>
    <row r="61" spans="2:54" x14ac:dyDescent="0.3">
      <c r="B61" s="106"/>
      <c r="C61" s="106"/>
      <c r="D61" s="115"/>
      <c r="E61" s="116"/>
      <c r="F61" s="116"/>
      <c r="G61" s="116"/>
      <c r="H61" s="116"/>
      <c r="I61" s="116"/>
      <c r="J61" s="116"/>
      <c r="K61" s="117"/>
      <c r="L61" s="116"/>
      <c r="M61" s="118"/>
      <c r="N61" s="125"/>
      <c r="O61" s="126"/>
      <c r="P61" s="117"/>
      <c r="Q61" s="261">
        <f>_xlfn.IFNA(VLOOKUP(D61,'Model Assumptions'!$B$15:$D$17,3,FALSE),0)</f>
        <v>0</v>
      </c>
      <c r="R61" s="270">
        <f t="shared" si="11"/>
        <v>0</v>
      </c>
      <c r="S61" s="271">
        <f t="shared" si="12"/>
        <v>0</v>
      </c>
      <c r="T61" s="271">
        <f>_xlfn.IFNA(((P61*(VLOOKUP($N61,'Model Assumptions'!$B$10:$C$12,2,FALSE)))/2)+$K61,0)</f>
        <v>0</v>
      </c>
      <c r="U61" s="272">
        <f t="shared" si="13"/>
        <v>0</v>
      </c>
      <c r="V61" s="262">
        <f>_xlfn.IFNA(INDEX('Model Assumptions'!$C$30:$F$38,MATCH('Building Breakdown'!$J61,'Model Assumptions'!$B$30:$B$38,0),MATCH('Building Breakdown'!V$22,'Model Assumptions'!$C$29:$F$29,0)),0)</f>
        <v>0</v>
      </c>
      <c r="W61" s="263">
        <f>_xlfn.IFNA(INDEX('Model Assumptions'!$C$30:$F$38,MATCH('Building Breakdown'!$J61,'Model Assumptions'!$B$30:$B$38,0),MATCH('Building Breakdown'!$N61,'Model Assumptions'!$C$29:$F$29,0)),0)</f>
        <v>0</v>
      </c>
      <c r="X61" s="264">
        <f>_xlfn.IFNA(VLOOKUP(O61,'Model Assumptions'!H$30:I$32,2,FALSE),0)</f>
        <v>0</v>
      </c>
      <c r="Y61" s="202">
        <f>(((($S61*$V61)+($T61*$W61)+($U61*$X61))*($G61-(VLOOKUP($D$7,'Model Assumptions'!$B$50:$O$72,2,FALSE))))/1000)*$E61</f>
        <v>0</v>
      </c>
      <c r="Z61" s="203">
        <f>(((($S61*$V61)+($T61*$W61)+($U61*$X61))*($G61-(VLOOKUP($D$7,'Model Assumptions'!$B$50:$O$72,3,FALSE))))/1000)*$E61</f>
        <v>0</v>
      </c>
      <c r="AA61" s="203">
        <f>(((($S61*$V61)+($T61*$W61)+($U61*$X61))*($G61-(VLOOKUP($D$7,'Model Assumptions'!$B$50:$O$72,4,FALSE))))/1000)*$E61</f>
        <v>0</v>
      </c>
      <c r="AB61" s="203">
        <f>(((($S61*$V61)+($T61*$W61)+($U61*$X61))*($G61-(VLOOKUP($D$7,'Model Assumptions'!$B$50:$O$72,5,FALSE))))/1000)*$E61</f>
        <v>0</v>
      </c>
      <c r="AC61" s="203">
        <f>(((($S61*$V61)+($T61*$W61)+($U61*$X61))*($G61-(VLOOKUP($D$7,'Model Assumptions'!$B$50:$O$72,6,FALSE))))/1000)*$E61</f>
        <v>0</v>
      </c>
      <c r="AD61" s="203">
        <f>(((($S61*$V61)+($T61*$W61)+($U61*$X61))*($G61-(VLOOKUP($D$7,'Model Assumptions'!$B$50:$O$72,7,FALSE))))/1000)*$E61</f>
        <v>0</v>
      </c>
      <c r="AE61" s="203">
        <f>(((($S61*$V61)+($T61*$W61)+($U61*$X61))*($G61-(VLOOKUP($D$7,'Model Assumptions'!$B$50:$O$72,8,FALSE))))/1000)*$E61</f>
        <v>0</v>
      </c>
      <c r="AF61" s="203">
        <f>(((($S61*$V61)+($T61*$W61)+($U61*$X61))*($G61-(VLOOKUP($D$7,'Model Assumptions'!$B$50:$O$72,9,FALSE))))/1000)*$E61</f>
        <v>0</v>
      </c>
      <c r="AG61" s="203">
        <f>(((($S61*$V61)+($T61*$W61)+($U61*$X61))*($G61-(VLOOKUP($D$7,'Model Assumptions'!$B$50:$O$72,10,FALSE))))/1000)*$E61</f>
        <v>0</v>
      </c>
      <c r="AH61" s="203">
        <f>(((($S61*$V61)+($T61*$W61)+($U61*$X61))*($G61-(VLOOKUP($D$7,'Model Assumptions'!$B$50:$O$72,11,FALSE))))/1000)*$E61</f>
        <v>0</v>
      </c>
      <c r="AI61" s="203">
        <f>(((($S61*$V61)+($T61*$W61)+($U61*$X61))*($G61-(VLOOKUP($D$7,'Model Assumptions'!$B$50:$O$72,12,FALSE))))/1000)*$E61</f>
        <v>0</v>
      </c>
      <c r="AJ61" s="204">
        <f>(((($S61*$V61)+($T61*$W61)+($U61*$X61))*($G61-(VLOOKUP($D$7,'Model Assumptions'!$B$50:$O$72,13,FALSE))))/1000)*$E61</f>
        <v>0</v>
      </c>
      <c r="AK61" s="193">
        <f>Y61*VLOOKUP("Hours",'Model Assumptions'!$B$50:$O$72,2,FALSE)*$H61*$I61/168</f>
        <v>0</v>
      </c>
      <c r="AL61" s="194">
        <f>Z61*VLOOKUP("Hours",'Model Assumptions'!$B$50:$O$72,3,FALSE)*$H61*$I61/168</f>
        <v>0</v>
      </c>
      <c r="AM61" s="194">
        <f>AA61*VLOOKUP("Hours",'Model Assumptions'!$B$50:$O$72,4,FALSE)*$H61*$I61/168</f>
        <v>0</v>
      </c>
      <c r="AN61" s="194">
        <f>AB61*VLOOKUP("Hours",'Model Assumptions'!$B$50:$O$72,5,FALSE)*$H61*$I61/168</f>
        <v>0</v>
      </c>
      <c r="AO61" s="194">
        <f>AC61*VLOOKUP("Hours",'Model Assumptions'!$B$50:$O$72,6,FALSE)*$H61*$I61/168</f>
        <v>0</v>
      </c>
      <c r="AP61" s="194">
        <f>AD61*VLOOKUP("Hours",'Model Assumptions'!$B$50:$O$72,7,FALSE)*$H61*$I61/168</f>
        <v>0</v>
      </c>
      <c r="AQ61" s="194">
        <f>AE61*VLOOKUP("Hours",'Model Assumptions'!$B$50:$O$72,8,FALSE)*$H61*$I61/168</f>
        <v>0</v>
      </c>
      <c r="AR61" s="194">
        <f>AF61*VLOOKUP("Hours",'Model Assumptions'!$B$50:$O$72,9,FALSE)*$H61*$I61/168</f>
        <v>0</v>
      </c>
      <c r="AS61" s="194">
        <f>AG61*VLOOKUP("Hours",'Model Assumptions'!$B$50:$O$72,10,FALSE)*$H61*$I61/168</f>
        <v>0</v>
      </c>
      <c r="AT61" s="194">
        <f>AH61*VLOOKUP("Hours",'Model Assumptions'!$B$50:$O$72,11,FALSE)*$H61*$I61/168</f>
        <v>0</v>
      </c>
      <c r="AU61" s="194">
        <f>AI61*VLOOKUP("Hours",'Model Assumptions'!$B$50:$O$72,12,FALSE)*$H61*$I61/168</f>
        <v>0</v>
      </c>
      <c r="AV61" s="195">
        <f>AJ61*VLOOKUP("Hours",'Model Assumptions'!$B$50:$O$72,13,FALSE)*$H61*$I61/168</f>
        <v>0</v>
      </c>
      <c r="AW61" s="249">
        <f t="shared" si="14"/>
        <v>0</v>
      </c>
      <c r="AX61" s="250">
        <f t="shared" si="21"/>
        <v>0</v>
      </c>
      <c r="AZ61" s="106"/>
      <c r="BA61" s="234">
        <f t="shared" si="15"/>
        <v>0</v>
      </c>
      <c r="BB61" s="234" t="str">
        <f>_xlfn.IFNA(BA61*INDEX('Bees Non-Electric Breakdown'!$E$20:$AQ$20,1,MATCH('Building Breakdown'!AZ61,'Bees Non-Electric Breakdown'!$E$7:$AQ$7,0)),"")</f>
        <v/>
      </c>
    </row>
    <row r="62" spans="2:54" x14ac:dyDescent="0.3">
      <c r="B62" s="106"/>
      <c r="C62" s="106"/>
      <c r="D62" s="115"/>
      <c r="E62" s="116"/>
      <c r="F62" s="116"/>
      <c r="G62" s="116"/>
      <c r="H62" s="116"/>
      <c r="I62" s="116"/>
      <c r="J62" s="116"/>
      <c r="K62" s="117"/>
      <c r="L62" s="116"/>
      <c r="M62" s="118"/>
      <c r="N62" s="125"/>
      <c r="O62" s="126"/>
      <c r="P62" s="117"/>
      <c r="Q62" s="261">
        <f>_xlfn.IFNA(VLOOKUP(D62,'Model Assumptions'!$B$15:$D$17,3,FALSE),0)</f>
        <v>0</v>
      </c>
      <c r="R62" s="270">
        <f t="shared" si="11"/>
        <v>0</v>
      </c>
      <c r="S62" s="271">
        <f t="shared" si="12"/>
        <v>0</v>
      </c>
      <c r="T62" s="271">
        <f>_xlfn.IFNA(((P62*(VLOOKUP($N62,'Model Assumptions'!$B$10:$C$12,2,FALSE)))/2)+$K62,0)</f>
        <v>0</v>
      </c>
      <c r="U62" s="272">
        <f t="shared" si="13"/>
        <v>0</v>
      </c>
      <c r="V62" s="262">
        <f>_xlfn.IFNA(INDEX('Model Assumptions'!$C$30:$F$38,MATCH('Building Breakdown'!$J62,'Model Assumptions'!$B$30:$B$38,0),MATCH('Building Breakdown'!V$22,'Model Assumptions'!$C$29:$F$29,0)),0)</f>
        <v>0</v>
      </c>
      <c r="W62" s="263">
        <f>_xlfn.IFNA(INDEX('Model Assumptions'!$C$30:$F$38,MATCH('Building Breakdown'!$J62,'Model Assumptions'!$B$30:$B$38,0),MATCH('Building Breakdown'!$N62,'Model Assumptions'!$C$29:$F$29,0)),0)</f>
        <v>0</v>
      </c>
      <c r="X62" s="264">
        <f>_xlfn.IFNA(VLOOKUP(O62,'Model Assumptions'!H$30:I$32,2,FALSE),0)</f>
        <v>0</v>
      </c>
      <c r="Y62" s="202">
        <f>(((($S62*$V62)+($T62*$W62)+($U62*$X62))*($G62-(VLOOKUP($D$7,'Model Assumptions'!$B$50:$O$72,2,FALSE))))/1000)*$E62</f>
        <v>0</v>
      </c>
      <c r="Z62" s="203">
        <f>(((($S62*$V62)+($T62*$W62)+($U62*$X62))*($G62-(VLOOKUP($D$7,'Model Assumptions'!$B$50:$O$72,3,FALSE))))/1000)*$E62</f>
        <v>0</v>
      </c>
      <c r="AA62" s="203">
        <f>(((($S62*$V62)+($T62*$W62)+($U62*$X62))*($G62-(VLOOKUP($D$7,'Model Assumptions'!$B$50:$O$72,4,FALSE))))/1000)*$E62</f>
        <v>0</v>
      </c>
      <c r="AB62" s="203">
        <f>(((($S62*$V62)+($T62*$W62)+($U62*$X62))*($G62-(VLOOKUP($D$7,'Model Assumptions'!$B$50:$O$72,5,FALSE))))/1000)*$E62</f>
        <v>0</v>
      </c>
      <c r="AC62" s="203">
        <f>(((($S62*$V62)+($T62*$W62)+($U62*$X62))*($G62-(VLOOKUP($D$7,'Model Assumptions'!$B$50:$O$72,6,FALSE))))/1000)*$E62</f>
        <v>0</v>
      </c>
      <c r="AD62" s="203">
        <f>(((($S62*$V62)+($T62*$W62)+($U62*$X62))*($G62-(VLOOKUP($D$7,'Model Assumptions'!$B$50:$O$72,7,FALSE))))/1000)*$E62</f>
        <v>0</v>
      </c>
      <c r="AE62" s="203">
        <f>(((($S62*$V62)+($T62*$W62)+($U62*$X62))*($G62-(VLOOKUP($D$7,'Model Assumptions'!$B$50:$O$72,8,FALSE))))/1000)*$E62</f>
        <v>0</v>
      </c>
      <c r="AF62" s="203">
        <f>(((($S62*$V62)+($T62*$W62)+($U62*$X62))*($G62-(VLOOKUP($D$7,'Model Assumptions'!$B$50:$O$72,9,FALSE))))/1000)*$E62</f>
        <v>0</v>
      </c>
      <c r="AG62" s="203">
        <f>(((($S62*$V62)+($T62*$W62)+($U62*$X62))*($G62-(VLOOKUP($D$7,'Model Assumptions'!$B$50:$O$72,10,FALSE))))/1000)*$E62</f>
        <v>0</v>
      </c>
      <c r="AH62" s="203">
        <f>(((($S62*$V62)+($T62*$W62)+($U62*$X62))*($G62-(VLOOKUP($D$7,'Model Assumptions'!$B$50:$O$72,11,FALSE))))/1000)*$E62</f>
        <v>0</v>
      </c>
      <c r="AI62" s="203">
        <f>(((($S62*$V62)+($T62*$W62)+($U62*$X62))*($G62-(VLOOKUP($D$7,'Model Assumptions'!$B$50:$O$72,12,FALSE))))/1000)*$E62</f>
        <v>0</v>
      </c>
      <c r="AJ62" s="204">
        <f>(((($S62*$V62)+($T62*$W62)+($U62*$X62))*($G62-(VLOOKUP($D$7,'Model Assumptions'!$B$50:$O$72,13,FALSE))))/1000)*$E62</f>
        <v>0</v>
      </c>
      <c r="AK62" s="193">
        <f>Y62*VLOOKUP("Hours",'Model Assumptions'!$B$50:$O$72,2,FALSE)*$H62*$I62/168</f>
        <v>0</v>
      </c>
      <c r="AL62" s="194">
        <f>Z62*VLOOKUP("Hours",'Model Assumptions'!$B$50:$O$72,3,FALSE)*$H62*$I62/168</f>
        <v>0</v>
      </c>
      <c r="AM62" s="194">
        <f>AA62*VLOOKUP("Hours",'Model Assumptions'!$B$50:$O$72,4,FALSE)*$H62*$I62/168</f>
        <v>0</v>
      </c>
      <c r="AN62" s="194">
        <f>AB62*VLOOKUP("Hours",'Model Assumptions'!$B$50:$O$72,5,FALSE)*$H62*$I62/168</f>
        <v>0</v>
      </c>
      <c r="AO62" s="194">
        <f>AC62*VLOOKUP("Hours",'Model Assumptions'!$B$50:$O$72,6,FALSE)*$H62*$I62/168</f>
        <v>0</v>
      </c>
      <c r="AP62" s="194">
        <f>AD62*VLOOKUP("Hours",'Model Assumptions'!$B$50:$O$72,7,FALSE)*$H62*$I62/168</f>
        <v>0</v>
      </c>
      <c r="AQ62" s="194">
        <f>AE62*VLOOKUP("Hours",'Model Assumptions'!$B$50:$O$72,8,FALSE)*$H62*$I62/168</f>
        <v>0</v>
      </c>
      <c r="AR62" s="194">
        <f>AF62*VLOOKUP("Hours",'Model Assumptions'!$B$50:$O$72,9,FALSE)*$H62*$I62/168</f>
        <v>0</v>
      </c>
      <c r="AS62" s="194">
        <f>AG62*VLOOKUP("Hours",'Model Assumptions'!$B$50:$O$72,10,FALSE)*$H62*$I62/168</f>
        <v>0</v>
      </c>
      <c r="AT62" s="194">
        <f>AH62*VLOOKUP("Hours",'Model Assumptions'!$B$50:$O$72,11,FALSE)*$H62*$I62/168</f>
        <v>0</v>
      </c>
      <c r="AU62" s="194">
        <f>AI62*VLOOKUP("Hours",'Model Assumptions'!$B$50:$O$72,12,FALSE)*$H62*$I62/168</f>
        <v>0</v>
      </c>
      <c r="AV62" s="195">
        <f>AJ62*VLOOKUP("Hours",'Model Assumptions'!$B$50:$O$72,13,FALSE)*$H62*$I62/168</f>
        <v>0</v>
      </c>
      <c r="AW62" s="249">
        <f t="shared" si="14"/>
        <v>0</v>
      </c>
      <c r="AX62" s="250">
        <f t="shared" si="21"/>
        <v>0</v>
      </c>
      <c r="AZ62" s="106"/>
      <c r="BA62" s="234">
        <f t="shared" si="15"/>
        <v>0</v>
      </c>
      <c r="BB62" s="234" t="str">
        <f>_xlfn.IFNA(BA62*INDEX('Bees Non-Electric Breakdown'!$E$20:$AQ$20,1,MATCH('Building Breakdown'!AZ62,'Bees Non-Electric Breakdown'!$E$7:$AQ$7,0)),"")</f>
        <v/>
      </c>
    </row>
    <row r="63" spans="2:54" x14ac:dyDescent="0.3">
      <c r="B63" s="106"/>
      <c r="C63" s="106"/>
      <c r="D63" s="115"/>
      <c r="E63" s="116"/>
      <c r="F63" s="116"/>
      <c r="G63" s="116"/>
      <c r="H63" s="116"/>
      <c r="I63" s="116"/>
      <c r="J63" s="116"/>
      <c r="K63" s="117"/>
      <c r="L63" s="116"/>
      <c r="M63" s="118"/>
      <c r="N63" s="125"/>
      <c r="O63" s="126"/>
      <c r="P63" s="117"/>
      <c r="Q63" s="261">
        <f>_xlfn.IFNA(VLOOKUP(D63,'Model Assumptions'!$B$15:$D$17,3,FALSE),0)</f>
        <v>0</v>
      </c>
      <c r="R63" s="270">
        <f t="shared" si="8"/>
        <v>0</v>
      </c>
      <c r="S63" s="271">
        <f t="shared" si="9"/>
        <v>0</v>
      </c>
      <c r="T63" s="271">
        <f>_xlfn.IFNA(((P63*(VLOOKUP($N63,'Model Assumptions'!$B$10:$C$12,2,FALSE)))/2)+$K63,0)</f>
        <v>0</v>
      </c>
      <c r="U63" s="272">
        <f t="shared" si="10"/>
        <v>0</v>
      </c>
      <c r="V63" s="262">
        <f>_xlfn.IFNA(INDEX('Model Assumptions'!$C$30:$F$38,MATCH('Building Breakdown'!$J63,'Model Assumptions'!$B$30:$B$38,0),MATCH('Building Breakdown'!V$22,'Model Assumptions'!$C$29:$F$29,0)),0)</f>
        <v>0</v>
      </c>
      <c r="W63" s="263">
        <f>_xlfn.IFNA(INDEX('Model Assumptions'!$C$30:$F$38,MATCH('Building Breakdown'!$J63,'Model Assumptions'!$B$30:$B$38,0),MATCH('Building Breakdown'!$N63,'Model Assumptions'!$C$29:$F$29,0)),0)</f>
        <v>0</v>
      </c>
      <c r="X63" s="264">
        <f>_xlfn.IFNA(VLOOKUP(O63,'Model Assumptions'!H$30:I$32,2,FALSE),0)</f>
        <v>0</v>
      </c>
      <c r="Y63" s="202">
        <f>(((($S63*$V63)+($T63*$W63)+($U63*$X63))*($G63-(VLOOKUP($D$7,'Model Assumptions'!$B$50:$O$72,2,FALSE))))/1000)*$E63</f>
        <v>0</v>
      </c>
      <c r="Z63" s="203">
        <f>(((($S63*$V63)+($T63*$W63)+($U63*$X63))*($G63-(VLOOKUP($D$7,'Model Assumptions'!$B$50:$O$72,3,FALSE))))/1000)*$E63</f>
        <v>0</v>
      </c>
      <c r="AA63" s="203">
        <f>(((($S63*$V63)+($T63*$W63)+($U63*$X63))*($G63-(VLOOKUP($D$7,'Model Assumptions'!$B$50:$O$72,4,FALSE))))/1000)*$E63</f>
        <v>0</v>
      </c>
      <c r="AB63" s="203">
        <f>(((($S63*$V63)+($T63*$W63)+($U63*$X63))*($G63-(VLOOKUP($D$7,'Model Assumptions'!$B$50:$O$72,5,FALSE))))/1000)*$E63</f>
        <v>0</v>
      </c>
      <c r="AC63" s="203">
        <f>(((($S63*$V63)+($T63*$W63)+($U63*$X63))*($G63-(VLOOKUP($D$7,'Model Assumptions'!$B$50:$O$72,6,FALSE))))/1000)*$E63</f>
        <v>0</v>
      </c>
      <c r="AD63" s="203">
        <f>(((($S63*$V63)+($T63*$W63)+($U63*$X63))*($G63-(VLOOKUP($D$7,'Model Assumptions'!$B$50:$O$72,7,FALSE))))/1000)*$E63</f>
        <v>0</v>
      </c>
      <c r="AE63" s="203">
        <f>(((($S63*$V63)+($T63*$W63)+($U63*$X63))*($G63-(VLOOKUP($D$7,'Model Assumptions'!$B$50:$O$72,8,FALSE))))/1000)*$E63</f>
        <v>0</v>
      </c>
      <c r="AF63" s="203">
        <f>(((($S63*$V63)+($T63*$W63)+($U63*$X63))*($G63-(VLOOKUP($D$7,'Model Assumptions'!$B$50:$O$72,9,FALSE))))/1000)*$E63</f>
        <v>0</v>
      </c>
      <c r="AG63" s="203">
        <f>(((($S63*$V63)+($T63*$W63)+($U63*$X63))*($G63-(VLOOKUP($D$7,'Model Assumptions'!$B$50:$O$72,10,FALSE))))/1000)*$E63</f>
        <v>0</v>
      </c>
      <c r="AH63" s="203">
        <f>(((($S63*$V63)+($T63*$W63)+($U63*$X63))*($G63-(VLOOKUP($D$7,'Model Assumptions'!$B$50:$O$72,11,FALSE))))/1000)*$E63</f>
        <v>0</v>
      </c>
      <c r="AI63" s="203">
        <f>(((($S63*$V63)+($T63*$W63)+($U63*$X63))*($G63-(VLOOKUP($D$7,'Model Assumptions'!$B$50:$O$72,12,FALSE))))/1000)*$E63</f>
        <v>0</v>
      </c>
      <c r="AJ63" s="204">
        <f>(((($S63*$V63)+($T63*$W63)+($U63*$X63))*($G63-(VLOOKUP($D$7,'Model Assumptions'!$B$50:$O$72,13,FALSE))))/1000)*$E63</f>
        <v>0</v>
      </c>
      <c r="AK63" s="193">
        <f>Y63*VLOOKUP("Hours",'Model Assumptions'!$B$50:$O$72,2,FALSE)*$H63*$I63/168</f>
        <v>0</v>
      </c>
      <c r="AL63" s="194">
        <f>Z63*VLOOKUP("Hours",'Model Assumptions'!$B$50:$O$72,3,FALSE)*$H63*$I63/168</f>
        <v>0</v>
      </c>
      <c r="AM63" s="194">
        <f>AA63*VLOOKUP("Hours",'Model Assumptions'!$B$50:$O$72,4,FALSE)*$H63*$I63/168</f>
        <v>0</v>
      </c>
      <c r="AN63" s="194">
        <f>AB63*VLOOKUP("Hours",'Model Assumptions'!$B$50:$O$72,5,FALSE)*$H63*$I63/168</f>
        <v>0</v>
      </c>
      <c r="AO63" s="194">
        <f>AC63*VLOOKUP("Hours",'Model Assumptions'!$B$50:$O$72,6,FALSE)*$H63*$I63/168</f>
        <v>0</v>
      </c>
      <c r="AP63" s="194">
        <f>AD63*VLOOKUP("Hours",'Model Assumptions'!$B$50:$O$72,7,FALSE)*$H63*$I63/168</f>
        <v>0</v>
      </c>
      <c r="AQ63" s="194">
        <f>AE63*VLOOKUP("Hours",'Model Assumptions'!$B$50:$O$72,8,FALSE)*$H63*$I63/168</f>
        <v>0</v>
      </c>
      <c r="AR63" s="194">
        <f>AF63*VLOOKUP("Hours",'Model Assumptions'!$B$50:$O$72,9,FALSE)*$H63*$I63/168</f>
        <v>0</v>
      </c>
      <c r="AS63" s="194">
        <f>AG63*VLOOKUP("Hours",'Model Assumptions'!$B$50:$O$72,10,FALSE)*$H63*$I63/168</f>
        <v>0</v>
      </c>
      <c r="AT63" s="194">
        <f>AH63*VLOOKUP("Hours",'Model Assumptions'!$B$50:$O$72,11,FALSE)*$H63*$I63/168</f>
        <v>0</v>
      </c>
      <c r="AU63" s="194">
        <f>AI63*VLOOKUP("Hours",'Model Assumptions'!$B$50:$O$72,12,FALSE)*$H63*$I63/168</f>
        <v>0</v>
      </c>
      <c r="AV63" s="195">
        <f>AJ63*VLOOKUP("Hours",'Model Assumptions'!$B$50:$O$72,13,FALSE)*$H63*$I63/168</f>
        <v>0</v>
      </c>
      <c r="AW63" s="249">
        <f t="shared" si="5"/>
        <v>0</v>
      </c>
      <c r="AX63" s="250">
        <f t="shared" si="21"/>
        <v>0</v>
      </c>
      <c r="AZ63" s="106"/>
      <c r="BA63" s="234">
        <f t="shared" si="7"/>
        <v>0</v>
      </c>
      <c r="BB63" s="234" t="str">
        <f>_xlfn.IFNA(BA63*INDEX('Bees Non-Electric Breakdown'!$E$20:$AQ$20,1,MATCH('Building Breakdown'!AZ63,'Bees Non-Electric Breakdown'!$E$7:$AQ$7,0)),"")</f>
        <v/>
      </c>
    </row>
    <row r="64" spans="2:54" x14ac:dyDescent="0.3">
      <c r="B64" s="106"/>
      <c r="C64" s="106"/>
      <c r="D64" s="115"/>
      <c r="E64" s="116"/>
      <c r="F64" s="116"/>
      <c r="G64" s="116"/>
      <c r="H64" s="116"/>
      <c r="I64" s="116"/>
      <c r="J64" s="116"/>
      <c r="K64" s="117"/>
      <c r="L64" s="116"/>
      <c r="M64" s="118"/>
      <c r="N64" s="125"/>
      <c r="O64" s="126"/>
      <c r="P64" s="117"/>
      <c r="Q64" s="261">
        <f>_xlfn.IFNA(VLOOKUP(D64,'Model Assumptions'!$B$15:$D$17,3,FALSE),0)</f>
        <v>0</v>
      </c>
      <c r="R64" s="270">
        <f t="shared" si="8"/>
        <v>0</v>
      </c>
      <c r="S64" s="271">
        <f t="shared" si="9"/>
        <v>0</v>
      </c>
      <c r="T64" s="271">
        <f>_xlfn.IFNA(((P64*(VLOOKUP($N64,'Model Assumptions'!$B$10:$C$12,2,FALSE)))/2)+$K64,0)</f>
        <v>0</v>
      </c>
      <c r="U64" s="272">
        <f t="shared" si="10"/>
        <v>0</v>
      </c>
      <c r="V64" s="262">
        <f>_xlfn.IFNA(INDEX('Model Assumptions'!$C$30:$F$38,MATCH('Building Breakdown'!$J64,'Model Assumptions'!$B$30:$B$38,0),MATCH('Building Breakdown'!V$22,'Model Assumptions'!$C$29:$F$29,0)),0)</f>
        <v>0</v>
      </c>
      <c r="W64" s="263">
        <f>_xlfn.IFNA(INDEX('Model Assumptions'!$C$30:$F$38,MATCH('Building Breakdown'!$J64,'Model Assumptions'!$B$30:$B$38,0),MATCH('Building Breakdown'!$N64,'Model Assumptions'!$C$29:$F$29,0)),0)</f>
        <v>0</v>
      </c>
      <c r="X64" s="264">
        <f>_xlfn.IFNA(VLOOKUP(O64,'Model Assumptions'!H$30:I$32,2,FALSE),0)</f>
        <v>0</v>
      </c>
      <c r="Y64" s="202">
        <f>(((($S64*$V64)+($T64*$W64)+($U64*$X64))*($G64-(VLOOKUP($D$7,'Model Assumptions'!$B$50:$O$72,2,FALSE))))/1000)*$E64</f>
        <v>0</v>
      </c>
      <c r="Z64" s="203">
        <f>(((($S64*$V64)+($T64*$W64)+($U64*$X64))*($G64-(VLOOKUP($D$7,'Model Assumptions'!$B$50:$O$72,3,FALSE))))/1000)*$E64</f>
        <v>0</v>
      </c>
      <c r="AA64" s="203">
        <f>(((($S64*$V64)+($T64*$W64)+($U64*$X64))*($G64-(VLOOKUP($D$7,'Model Assumptions'!$B$50:$O$72,4,FALSE))))/1000)*$E64</f>
        <v>0</v>
      </c>
      <c r="AB64" s="203">
        <f>(((($S64*$V64)+($T64*$W64)+($U64*$X64))*($G64-(VLOOKUP($D$7,'Model Assumptions'!$B$50:$O$72,5,FALSE))))/1000)*$E64</f>
        <v>0</v>
      </c>
      <c r="AC64" s="203">
        <f>(((($S64*$V64)+($T64*$W64)+($U64*$X64))*($G64-(VLOOKUP($D$7,'Model Assumptions'!$B$50:$O$72,6,FALSE))))/1000)*$E64</f>
        <v>0</v>
      </c>
      <c r="AD64" s="203">
        <f>(((($S64*$V64)+($T64*$W64)+($U64*$X64))*($G64-(VLOOKUP($D$7,'Model Assumptions'!$B$50:$O$72,7,FALSE))))/1000)*$E64</f>
        <v>0</v>
      </c>
      <c r="AE64" s="203">
        <f>(((($S64*$V64)+($T64*$W64)+($U64*$X64))*($G64-(VLOOKUP($D$7,'Model Assumptions'!$B$50:$O$72,8,FALSE))))/1000)*$E64</f>
        <v>0</v>
      </c>
      <c r="AF64" s="203">
        <f>(((($S64*$V64)+($T64*$W64)+($U64*$X64))*($G64-(VLOOKUP($D$7,'Model Assumptions'!$B$50:$O$72,9,FALSE))))/1000)*$E64</f>
        <v>0</v>
      </c>
      <c r="AG64" s="203">
        <f>(((($S64*$V64)+($T64*$W64)+($U64*$X64))*($G64-(VLOOKUP($D$7,'Model Assumptions'!$B$50:$O$72,10,FALSE))))/1000)*$E64</f>
        <v>0</v>
      </c>
      <c r="AH64" s="203">
        <f>(((($S64*$V64)+($T64*$W64)+($U64*$X64))*($G64-(VLOOKUP($D$7,'Model Assumptions'!$B$50:$O$72,11,FALSE))))/1000)*$E64</f>
        <v>0</v>
      </c>
      <c r="AI64" s="203">
        <f>(((($S64*$V64)+($T64*$W64)+($U64*$X64))*($G64-(VLOOKUP($D$7,'Model Assumptions'!$B$50:$O$72,12,FALSE))))/1000)*$E64</f>
        <v>0</v>
      </c>
      <c r="AJ64" s="204">
        <f>(((($S64*$V64)+($T64*$W64)+($U64*$X64))*($G64-(VLOOKUP($D$7,'Model Assumptions'!$B$50:$O$72,13,FALSE))))/1000)*$E64</f>
        <v>0</v>
      </c>
      <c r="AK64" s="193">
        <f>Y64*VLOOKUP("Hours",'Model Assumptions'!$B$50:$O$72,2,FALSE)*$H64*$I64/168</f>
        <v>0</v>
      </c>
      <c r="AL64" s="194">
        <f>Z64*VLOOKUP("Hours",'Model Assumptions'!$B$50:$O$72,3,FALSE)*$H64*$I64/168</f>
        <v>0</v>
      </c>
      <c r="AM64" s="194">
        <f>AA64*VLOOKUP("Hours",'Model Assumptions'!$B$50:$O$72,4,FALSE)*$H64*$I64/168</f>
        <v>0</v>
      </c>
      <c r="AN64" s="194">
        <f>AB64*VLOOKUP("Hours",'Model Assumptions'!$B$50:$O$72,5,FALSE)*$H64*$I64/168</f>
        <v>0</v>
      </c>
      <c r="AO64" s="194">
        <f>AC64*VLOOKUP("Hours",'Model Assumptions'!$B$50:$O$72,6,FALSE)*$H64*$I64/168</f>
        <v>0</v>
      </c>
      <c r="AP64" s="194">
        <f>AD64*VLOOKUP("Hours",'Model Assumptions'!$B$50:$O$72,7,FALSE)*$H64*$I64/168</f>
        <v>0</v>
      </c>
      <c r="AQ64" s="194">
        <f>AE64*VLOOKUP("Hours",'Model Assumptions'!$B$50:$O$72,8,FALSE)*$H64*$I64/168</f>
        <v>0</v>
      </c>
      <c r="AR64" s="194">
        <f>AF64*VLOOKUP("Hours",'Model Assumptions'!$B$50:$O$72,9,FALSE)*$H64*$I64/168</f>
        <v>0</v>
      </c>
      <c r="AS64" s="194">
        <f>AG64*VLOOKUP("Hours",'Model Assumptions'!$B$50:$O$72,10,FALSE)*$H64*$I64/168</f>
        <v>0</v>
      </c>
      <c r="AT64" s="194">
        <f>AH64*VLOOKUP("Hours",'Model Assumptions'!$B$50:$O$72,11,FALSE)*$H64*$I64/168</f>
        <v>0</v>
      </c>
      <c r="AU64" s="194">
        <f>AI64*VLOOKUP("Hours",'Model Assumptions'!$B$50:$O$72,12,FALSE)*$H64*$I64/168</f>
        <v>0</v>
      </c>
      <c r="AV64" s="195">
        <f>AJ64*VLOOKUP("Hours",'Model Assumptions'!$B$50:$O$72,13,FALSE)*$H64*$I64/168</f>
        <v>0</v>
      </c>
      <c r="AW64" s="249">
        <f t="shared" si="5"/>
        <v>0</v>
      </c>
      <c r="AX64" s="250">
        <f t="shared" si="21"/>
        <v>0</v>
      </c>
      <c r="AZ64" s="106"/>
      <c r="BA64" s="234">
        <f t="shared" si="7"/>
        <v>0</v>
      </c>
      <c r="BB64" s="234" t="str">
        <f>_xlfn.IFNA(BA64*INDEX('Bees Non-Electric Breakdown'!$E$20:$AQ$20,1,MATCH('Building Breakdown'!AZ64,'Bees Non-Electric Breakdown'!$E$7:$AQ$7,0)),"")</f>
        <v/>
      </c>
    </row>
    <row r="65" spans="2:54" x14ac:dyDescent="0.3">
      <c r="B65" s="106"/>
      <c r="C65" s="106"/>
      <c r="D65" s="115"/>
      <c r="E65" s="116"/>
      <c r="F65" s="116"/>
      <c r="G65" s="116"/>
      <c r="H65" s="116"/>
      <c r="I65" s="116"/>
      <c r="J65" s="116"/>
      <c r="K65" s="117"/>
      <c r="L65" s="116"/>
      <c r="M65" s="118"/>
      <c r="N65" s="125"/>
      <c r="O65" s="126"/>
      <c r="P65" s="117"/>
      <c r="Q65" s="261">
        <f>_xlfn.IFNA(VLOOKUP(D65,'Model Assumptions'!$B$15:$D$17,3,FALSE),0)</f>
        <v>0</v>
      </c>
      <c r="R65" s="270">
        <f t="shared" si="8"/>
        <v>0</v>
      </c>
      <c r="S65" s="271">
        <f t="shared" si="9"/>
        <v>0</v>
      </c>
      <c r="T65" s="271">
        <f>_xlfn.IFNA(((P65*(VLOOKUP($N65,'Model Assumptions'!$B$10:$C$12,2,FALSE)))/2)+$K65,0)</f>
        <v>0</v>
      </c>
      <c r="U65" s="272">
        <f t="shared" si="10"/>
        <v>0</v>
      </c>
      <c r="V65" s="262">
        <f>_xlfn.IFNA(INDEX('Model Assumptions'!$C$30:$F$38,MATCH('Building Breakdown'!$J65,'Model Assumptions'!$B$30:$B$38,0),MATCH('Building Breakdown'!V$22,'Model Assumptions'!$C$29:$F$29,0)),0)</f>
        <v>0</v>
      </c>
      <c r="W65" s="263">
        <f>_xlfn.IFNA(INDEX('Model Assumptions'!$C$30:$F$38,MATCH('Building Breakdown'!$J65,'Model Assumptions'!$B$30:$B$38,0),MATCH('Building Breakdown'!$N65,'Model Assumptions'!$C$29:$F$29,0)),0)</f>
        <v>0</v>
      </c>
      <c r="X65" s="264">
        <f>_xlfn.IFNA(VLOOKUP(O65,'Model Assumptions'!H$30:I$32,2,FALSE),0)</f>
        <v>0</v>
      </c>
      <c r="Y65" s="202">
        <f>(((($S65*$V65)+($T65*$W65)+($U65*$X65))*($G65-(VLOOKUP($D$7,'Model Assumptions'!$B$50:$O$72,2,FALSE))))/1000)*$E65</f>
        <v>0</v>
      </c>
      <c r="Z65" s="203">
        <f>(((($S65*$V65)+($T65*$W65)+($U65*$X65))*($G65-(VLOOKUP($D$7,'Model Assumptions'!$B$50:$O$72,3,FALSE))))/1000)*$E65</f>
        <v>0</v>
      </c>
      <c r="AA65" s="203">
        <f>(((($S65*$V65)+($T65*$W65)+($U65*$X65))*($G65-(VLOOKUP($D$7,'Model Assumptions'!$B$50:$O$72,4,FALSE))))/1000)*$E65</f>
        <v>0</v>
      </c>
      <c r="AB65" s="203">
        <f>(((($S65*$V65)+($T65*$W65)+($U65*$X65))*($G65-(VLOOKUP($D$7,'Model Assumptions'!$B$50:$O$72,5,FALSE))))/1000)*$E65</f>
        <v>0</v>
      </c>
      <c r="AC65" s="203">
        <f>(((($S65*$V65)+($T65*$W65)+($U65*$X65))*($G65-(VLOOKUP($D$7,'Model Assumptions'!$B$50:$O$72,6,FALSE))))/1000)*$E65</f>
        <v>0</v>
      </c>
      <c r="AD65" s="203">
        <f>(((($S65*$V65)+($T65*$W65)+($U65*$X65))*($G65-(VLOOKUP($D$7,'Model Assumptions'!$B$50:$O$72,7,FALSE))))/1000)*$E65</f>
        <v>0</v>
      </c>
      <c r="AE65" s="203">
        <f>(((($S65*$V65)+($T65*$W65)+($U65*$X65))*($G65-(VLOOKUP($D$7,'Model Assumptions'!$B$50:$O$72,8,FALSE))))/1000)*$E65</f>
        <v>0</v>
      </c>
      <c r="AF65" s="203">
        <f>(((($S65*$V65)+($T65*$W65)+($U65*$X65))*($G65-(VLOOKUP($D$7,'Model Assumptions'!$B$50:$O$72,9,FALSE))))/1000)*$E65</f>
        <v>0</v>
      </c>
      <c r="AG65" s="203">
        <f>(((($S65*$V65)+($T65*$W65)+($U65*$X65))*($G65-(VLOOKUP($D$7,'Model Assumptions'!$B$50:$O$72,10,FALSE))))/1000)*$E65</f>
        <v>0</v>
      </c>
      <c r="AH65" s="203">
        <f>(((($S65*$V65)+($T65*$W65)+($U65*$X65))*($G65-(VLOOKUP($D$7,'Model Assumptions'!$B$50:$O$72,11,FALSE))))/1000)*$E65</f>
        <v>0</v>
      </c>
      <c r="AI65" s="203">
        <f>(((($S65*$V65)+($T65*$W65)+($U65*$X65))*($G65-(VLOOKUP($D$7,'Model Assumptions'!$B$50:$O$72,12,FALSE))))/1000)*$E65</f>
        <v>0</v>
      </c>
      <c r="AJ65" s="204">
        <f>(((($S65*$V65)+($T65*$W65)+($U65*$X65))*($G65-(VLOOKUP($D$7,'Model Assumptions'!$B$50:$O$72,13,FALSE))))/1000)*$E65</f>
        <v>0</v>
      </c>
      <c r="AK65" s="193">
        <f>Y65*VLOOKUP("Hours",'Model Assumptions'!$B$50:$O$72,2,FALSE)*$H65*$I65/168</f>
        <v>0</v>
      </c>
      <c r="AL65" s="194">
        <f>Z65*VLOOKUP("Hours",'Model Assumptions'!$B$50:$O$72,3,FALSE)*$H65*$I65/168</f>
        <v>0</v>
      </c>
      <c r="AM65" s="194">
        <f>AA65*VLOOKUP("Hours",'Model Assumptions'!$B$50:$O$72,4,FALSE)*$H65*$I65/168</f>
        <v>0</v>
      </c>
      <c r="AN65" s="194">
        <f>AB65*VLOOKUP("Hours",'Model Assumptions'!$B$50:$O$72,5,FALSE)*$H65*$I65/168</f>
        <v>0</v>
      </c>
      <c r="AO65" s="194">
        <f>AC65*VLOOKUP("Hours",'Model Assumptions'!$B$50:$O$72,6,FALSE)*$H65*$I65/168</f>
        <v>0</v>
      </c>
      <c r="AP65" s="194">
        <f>AD65*VLOOKUP("Hours",'Model Assumptions'!$B$50:$O$72,7,FALSE)*$H65*$I65/168</f>
        <v>0</v>
      </c>
      <c r="AQ65" s="194">
        <f>AE65*VLOOKUP("Hours",'Model Assumptions'!$B$50:$O$72,8,FALSE)*$H65*$I65/168</f>
        <v>0</v>
      </c>
      <c r="AR65" s="194">
        <f>AF65*VLOOKUP("Hours",'Model Assumptions'!$B$50:$O$72,9,FALSE)*$H65*$I65/168</f>
        <v>0</v>
      </c>
      <c r="AS65" s="194">
        <f>AG65*VLOOKUP("Hours",'Model Assumptions'!$B$50:$O$72,10,FALSE)*$H65*$I65/168</f>
        <v>0</v>
      </c>
      <c r="AT65" s="194">
        <f>AH65*VLOOKUP("Hours",'Model Assumptions'!$B$50:$O$72,11,FALSE)*$H65*$I65/168</f>
        <v>0</v>
      </c>
      <c r="AU65" s="194">
        <f>AI65*VLOOKUP("Hours",'Model Assumptions'!$B$50:$O$72,12,FALSE)*$H65*$I65/168</f>
        <v>0</v>
      </c>
      <c r="AV65" s="195">
        <f>AJ65*VLOOKUP("Hours",'Model Assumptions'!$B$50:$O$72,13,FALSE)*$H65*$I65/168</f>
        <v>0</v>
      </c>
      <c r="AW65" s="249">
        <f t="shared" si="5"/>
        <v>0</v>
      </c>
      <c r="AX65" s="250">
        <f t="shared" si="21"/>
        <v>0</v>
      </c>
      <c r="AZ65" s="106"/>
      <c r="BA65" s="234">
        <f t="shared" si="7"/>
        <v>0</v>
      </c>
      <c r="BB65" s="234" t="str">
        <f>_xlfn.IFNA(BA65*INDEX('Bees Non-Electric Breakdown'!$E$20:$AQ$20,1,MATCH('Building Breakdown'!AZ65,'Bees Non-Electric Breakdown'!$E$7:$AQ$7,0)),"")</f>
        <v/>
      </c>
    </row>
    <row r="66" spans="2:54" x14ac:dyDescent="0.3">
      <c r="B66" s="106"/>
      <c r="C66" s="106"/>
      <c r="D66" s="115"/>
      <c r="E66" s="116"/>
      <c r="F66" s="116"/>
      <c r="G66" s="116"/>
      <c r="H66" s="116"/>
      <c r="I66" s="116"/>
      <c r="J66" s="116"/>
      <c r="K66" s="117"/>
      <c r="L66" s="116"/>
      <c r="M66" s="118"/>
      <c r="N66" s="125"/>
      <c r="O66" s="126"/>
      <c r="P66" s="117"/>
      <c r="Q66" s="261">
        <f>_xlfn.IFNA(VLOOKUP(D66,'Model Assumptions'!$B$15:$D$17,3,FALSE),0)</f>
        <v>0</v>
      </c>
      <c r="R66" s="270">
        <f t="shared" si="8"/>
        <v>0</v>
      </c>
      <c r="S66" s="271">
        <f t="shared" si="9"/>
        <v>0</v>
      </c>
      <c r="T66" s="271">
        <f>_xlfn.IFNA(((P66*(VLOOKUP($N66,'Model Assumptions'!$B$10:$C$12,2,FALSE)))/2)+$K66,0)</f>
        <v>0</v>
      </c>
      <c r="U66" s="272">
        <f t="shared" si="10"/>
        <v>0</v>
      </c>
      <c r="V66" s="262">
        <f>_xlfn.IFNA(INDEX('Model Assumptions'!$C$30:$F$38,MATCH('Building Breakdown'!$J66,'Model Assumptions'!$B$30:$B$38,0),MATCH('Building Breakdown'!V$22,'Model Assumptions'!$C$29:$F$29,0)),0)</f>
        <v>0</v>
      </c>
      <c r="W66" s="263">
        <f>_xlfn.IFNA(INDEX('Model Assumptions'!$C$30:$F$38,MATCH('Building Breakdown'!$J66,'Model Assumptions'!$B$30:$B$38,0),MATCH('Building Breakdown'!$N66,'Model Assumptions'!$C$29:$F$29,0)),0)</f>
        <v>0</v>
      </c>
      <c r="X66" s="264">
        <f>_xlfn.IFNA(VLOOKUP(O66,'Model Assumptions'!H$30:I$32,2,FALSE),0)</f>
        <v>0</v>
      </c>
      <c r="Y66" s="202">
        <f>(((($S66*$V66)+($T66*$W66)+($U66*$X66))*($G66-(VLOOKUP($D$7,'Model Assumptions'!$B$50:$O$72,2,FALSE))))/1000)*$E66</f>
        <v>0</v>
      </c>
      <c r="Z66" s="203">
        <f>(((($S66*$V66)+($T66*$W66)+($U66*$X66))*($G66-(VLOOKUP($D$7,'Model Assumptions'!$B$50:$O$72,3,FALSE))))/1000)*$E66</f>
        <v>0</v>
      </c>
      <c r="AA66" s="203">
        <f>(((($S66*$V66)+($T66*$W66)+($U66*$X66))*($G66-(VLOOKUP($D$7,'Model Assumptions'!$B$50:$O$72,4,FALSE))))/1000)*$E66</f>
        <v>0</v>
      </c>
      <c r="AB66" s="203">
        <f>(((($S66*$V66)+($T66*$W66)+($U66*$X66))*($G66-(VLOOKUP($D$7,'Model Assumptions'!$B$50:$O$72,5,FALSE))))/1000)*$E66</f>
        <v>0</v>
      </c>
      <c r="AC66" s="203">
        <f>(((($S66*$V66)+($T66*$W66)+($U66*$X66))*($G66-(VLOOKUP($D$7,'Model Assumptions'!$B$50:$O$72,6,FALSE))))/1000)*$E66</f>
        <v>0</v>
      </c>
      <c r="AD66" s="203">
        <f>(((($S66*$V66)+($T66*$W66)+($U66*$X66))*($G66-(VLOOKUP($D$7,'Model Assumptions'!$B$50:$O$72,7,FALSE))))/1000)*$E66</f>
        <v>0</v>
      </c>
      <c r="AE66" s="203">
        <f>(((($S66*$V66)+($T66*$W66)+($U66*$X66))*($G66-(VLOOKUP($D$7,'Model Assumptions'!$B$50:$O$72,8,FALSE))))/1000)*$E66</f>
        <v>0</v>
      </c>
      <c r="AF66" s="203">
        <f>(((($S66*$V66)+($T66*$W66)+($U66*$X66))*($G66-(VLOOKUP($D$7,'Model Assumptions'!$B$50:$O$72,9,FALSE))))/1000)*$E66</f>
        <v>0</v>
      </c>
      <c r="AG66" s="203">
        <f>(((($S66*$V66)+($T66*$W66)+($U66*$X66))*($G66-(VLOOKUP($D$7,'Model Assumptions'!$B$50:$O$72,10,FALSE))))/1000)*$E66</f>
        <v>0</v>
      </c>
      <c r="AH66" s="203">
        <f>(((($S66*$V66)+($T66*$W66)+($U66*$X66))*($G66-(VLOOKUP($D$7,'Model Assumptions'!$B$50:$O$72,11,FALSE))))/1000)*$E66</f>
        <v>0</v>
      </c>
      <c r="AI66" s="203">
        <f>(((($S66*$V66)+($T66*$W66)+($U66*$X66))*($G66-(VLOOKUP($D$7,'Model Assumptions'!$B$50:$O$72,12,FALSE))))/1000)*$E66</f>
        <v>0</v>
      </c>
      <c r="AJ66" s="204">
        <f>(((($S66*$V66)+($T66*$W66)+($U66*$X66))*($G66-(VLOOKUP($D$7,'Model Assumptions'!$B$50:$O$72,13,FALSE))))/1000)*$E66</f>
        <v>0</v>
      </c>
      <c r="AK66" s="193">
        <f>Y66*VLOOKUP("Hours",'Model Assumptions'!$B$50:$O$72,2,FALSE)*$H66*$I66/168</f>
        <v>0</v>
      </c>
      <c r="AL66" s="194">
        <f>Z66*VLOOKUP("Hours",'Model Assumptions'!$B$50:$O$72,3,FALSE)*$H66*$I66/168</f>
        <v>0</v>
      </c>
      <c r="AM66" s="194">
        <f>AA66*VLOOKUP("Hours",'Model Assumptions'!$B$50:$O$72,4,FALSE)*$H66*$I66/168</f>
        <v>0</v>
      </c>
      <c r="AN66" s="194">
        <f>AB66*VLOOKUP("Hours",'Model Assumptions'!$B$50:$O$72,5,FALSE)*$H66*$I66/168</f>
        <v>0</v>
      </c>
      <c r="AO66" s="194">
        <f>AC66*VLOOKUP("Hours",'Model Assumptions'!$B$50:$O$72,6,FALSE)*$H66*$I66/168</f>
        <v>0</v>
      </c>
      <c r="AP66" s="194">
        <f>AD66*VLOOKUP("Hours",'Model Assumptions'!$B$50:$O$72,7,FALSE)*$H66*$I66/168</f>
        <v>0</v>
      </c>
      <c r="AQ66" s="194">
        <f>AE66*VLOOKUP("Hours",'Model Assumptions'!$B$50:$O$72,8,FALSE)*$H66*$I66/168</f>
        <v>0</v>
      </c>
      <c r="AR66" s="194">
        <f>AF66*VLOOKUP("Hours",'Model Assumptions'!$B$50:$O$72,9,FALSE)*$H66*$I66/168</f>
        <v>0</v>
      </c>
      <c r="AS66" s="194">
        <f>AG66*VLOOKUP("Hours",'Model Assumptions'!$B$50:$O$72,10,FALSE)*$H66*$I66/168</f>
        <v>0</v>
      </c>
      <c r="AT66" s="194">
        <f>AH66*VLOOKUP("Hours",'Model Assumptions'!$B$50:$O$72,11,FALSE)*$H66*$I66/168</f>
        <v>0</v>
      </c>
      <c r="AU66" s="194">
        <f>AI66*VLOOKUP("Hours",'Model Assumptions'!$B$50:$O$72,12,FALSE)*$H66*$I66/168</f>
        <v>0</v>
      </c>
      <c r="AV66" s="195">
        <f>AJ66*VLOOKUP("Hours",'Model Assumptions'!$B$50:$O$72,13,FALSE)*$H66*$I66/168</f>
        <v>0</v>
      </c>
      <c r="AW66" s="249">
        <f t="shared" si="5"/>
        <v>0</v>
      </c>
      <c r="AX66" s="250">
        <f t="shared" si="21"/>
        <v>0</v>
      </c>
      <c r="AZ66" s="106"/>
      <c r="BA66" s="234">
        <f t="shared" si="7"/>
        <v>0</v>
      </c>
      <c r="BB66" s="234" t="str">
        <f>_xlfn.IFNA(BA66*INDEX('Bees Non-Electric Breakdown'!$E$20:$AQ$20,1,MATCH('Building Breakdown'!AZ66,'Bees Non-Electric Breakdown'!$E$7:$AQ$7,0)),"")</f>
        <v/>
      </c>
    </row>
    <row r="67" spans="2:54" x14ac:dyDescent="0.3">
      <c r="B67" s="106"/>
      <c r="C67" s="106"/>
      <c r="D67" s="115"/>
      <c r="E67" s="116"/>
      <c r="F67" s="116"/>
      <c r="G67" s="116"/>
      <c r="H67" s="116"/>
      <c r="I67" s="116"/>
      <c r="J67" s="116"/>
      <c r="K67" s="117"/>
      <c r="L67" s="116"/>
      <c r="M67" s="118"/>
      <c r="N67" s="125"/>
      <c r="O67" s="126"/>
      <c r="P67" s="117"/>
      <c r="Q67" s="261">
        <f>_xlfn.IFNA(VLOOKUP(D67,'Model Assumptions'!$B$15:$D$17,3,FALSE),0)</f>
        <v>0</v>
      </c>
      <c r="R67" s="270">
        <f t="shared" si="8"/>
        <v>0</v>
      </c>
      <c r="S67" s="271">
        <f t="shared" si="9"/>
        <v>0</v>
      </c>
      <c r="T67" s="271">
        <f>_xlfn.IFNA(((P67*(VLOOKUP($N67,'Model Assumptions'!$B$10:$C$12,2,FALSE)))/2)+$K67,0)</f>
        <v>0</v>
      </c>
      <c r="U67" s="272">
        <f t="shared" si="10"/>
        <v>0</v>
      </c>
      <c r="V67" s="262">
        <f>_xlfn.IFNA(INDEX('Model Assumptions'!$C$30:$F$38,MATCH('Building Breakdown'!$J67,'Model Assumptions'!$B$30:$B$38,0),MATCH('Building Breakdown'!V$22,'Model Assumptions'!$C$29:$F$29,0)),0)</f>
        <v>0</v>
      </c>
      <c r="W67" s="263">
        <f>_xlfn.IFNA(INDEX('Model Assumptions'!$C$30:$F$38,MATCH('Building Breakdown'!$J67,'Model Assumptions'!$B$30:$B$38,0),MATCH('Building Breakdown'!$N67,'Model Assumptions'!$C$29:$F$29,0)),0)</f>
        <v>0</v>
      </c>
      <c r="X67" s="264">
        <f>_xlfn.IFNA(VLOOKUP(O67,'Model Assumptions'!H$30:I$32,2,FALSE),0)</f>
        <v>0</v>
      </c>
      <c r="Y67" s="202">
        <f>(((($S67*$V67)+($T67*$W67)+($U67*$X67))*($G67-(VLOOKUP($D$7,'Model Assumptions'!$B$50:$O$72,2,FALSE))))/1000)*$E67</f>
        <v>0</v>
      </c>
      <c r="Z67" s="203">
        <f>(((($S67*$V67)+($T67*$W67)+($U67*$X67))*($G67-(VLOOKUP($D$7,'Model Assumptions'!$B$50:$O$72,3,FALSE))))/1000)*$E67</f>
        <v>0</v>
      </c>
      <c r="AA67" s="203">
        <f>(((($S67*$V67)+($T67*$W67)+($U67*$X67))*($G67-(VLOOKUP($D$7,'Model Assumptions'!$B$50:$O$72,4,FALSE))))/1000)*$E67</f>
        <v>0</v>
      </c>
      <c r="AB67" s="203">
        <f>(((($S67*$V67)+($T67*$W67)+($U67*$X67))*($G67-(VLOOKUP($D$7,'Model Assumptions'!$B$50:$O$72,5,FALSE))))/1000)*$E67</f>
        <v>0</v>
      </c>
      <c r="AC67" s="203">
        <f>(((($S67*$V67)+($T67*$W67)+($U67*$X67))*($G67-(VLOOKUP($D$7,'Model Assumptions'!$B$50:$O$72,6,FALSE))))/1000)*$E67</f>
        <v>0</v>
      </c>
      <c r="AD67" s="203">
        <f>(((($S67*$V67)+($T67*$W67)+($U67*$X67))*($G67-(VLOOKUP($D$7,'Model Assumptions'!$B$50:$O$72,7,FALSE))))/1000)*$E67</f>
        <v>0</v>
      </c>
      <c r="AE67" s="203">
        <f>(((($S67*$V67)+($T67*$W67)+($U67*$X67))*($G67-(VLOOKUP($D$7,'Model Assumptions'!$B$50:$O$72,8,FALSE))))/1000)*$E67</f>
        <v>0</v>
      </c>
      <c r="AF67" s="203">
        <f>(((($S67*$V67)+($T67*$W67)+($U67*$X67))*($G67-(VLOOKUP($D$7,'Model Assumptions'!$B$50:$O$72,9,FALSE))))/1000)*$E67</f>
        <v>0</v>
      </c>
      <c r="AG67" s="203">
        <f>(((($S67*$V67)+($T67*$W67)+($U67*$X67))*($G67-(VLOOKUP($D$7,'Model Assumptions'!$B$50:$O$72,10,FALSE))))/1000)*$E67</f>
        <v>0</v>
      </c>
      <c r="AH67" s="203">
        <f>(((($S67*$V67)+($T67*$W67)+($U67*$X67))*($G67-(VLOOKUP($D$7,'Model Assumptions'!$B$50:$O$72,11,FALSE))))/1000)*$E67</f>
        <v>0</v>
      </c>
      <c r="AI67" s="203">
        <f>(((($S67*$V67)+($T67*$W67)+($U67*$X67))*($G67-(VLOOKUP($D$7,'Model Assumptions'!$B$50:$O$72,12,FALSE))))/1000)*$E67</f>
        <v>0</v>
      </c>
      <c r="AJ67" s="204">
        <f>(((($S67*$V67)+($T67*$W67)+($U67*$X67))*($G67-(VLOOKUP($D$7,'Model Assumptions'!$B$50:$O$72,13,FALSE))))/1000)*$E67</f>
        <v>0</v>
      </c>
      <c r="AK67" s="193">
        <f>Y67*VLOOKUP("Hours",'Model Assumptions'!$B$50:$O$72,2,FALSE)*$H67*$I67/168</f>
        <v>0</v>
      </c>
      <c r="AL67" s="194">
        <f>Z67*VLOOKUP("Hours",'Model Assumptions'!$B$50:$O$72,3,FALSE)*$H67*$I67/168</f>
        <v>0</v>
      </c>
      <c r="AM67" s="194">
        <f>AA67*VLOOKUP("Hours",'Model Assumptions'!$B$50:$O$72,4,FALSE)*$H67*$I67/168</f>
        <v>0</v>
      </c>
      <c r="AN67" s="194">
        <f>AB67*VLOOKUP("Hours",'Model Assumptions'!$B$50:$O$72,5,FALSE)*$H67*$I67/168</f>
        <v>0</v>
      </c>
      <c r="AO67" s="194">
        <f>AC67*VLOOKUP("Hours",'Model Assumptions'!$B$50:$O$72,6,FALSE)*$H67*$I67/168</f>
        <v>0</v>
      </c>
      <c r="AP67" s="194">
        <f>AD67*VLOOKUP("Hours",'Model Assumptions'!$B$50:$O$72,7,FALSE)*$H67*$I67/168</f>
        <v>0</v>
      </c>
      <c r="AQ67" s="194">
        <f>AE67*VLOOKUP("Hours",'Model Assumptions'!$B$50:$O$72,8,FALSE)*$H67*$I67/168</f>
        <v>0</v>
      </c>
      <c r="AR67" s="194">
        <f>AF67*VLOOKUP("Hours",'Model Assumptions'!$B$50:$O$72,9,FALSE)*$H67*$I67/168</f>
        <v>0</v>
      </c>
      <c r="AS67" s="194">
        <f>AG67*VLOOKUP("Hours",'Model Assumptions'!$B$50:$O$72,10,FALSE)*$H67*$I67/168</f>
        <v>0</v>
      </c>
      <c r="AT67" s="194">
        <f>AH67*VLOOKUP("Hours",'Model Assumptions'!$B$50:$O$72,11,FALSE)*$H67*$I67/168</f>
        <v>0</v>
      </c>
      <c r="AU67" s="194">
        <f>AI67*VLOOKUP("Hours",'Model Assumptions'!$B$50:$O$72,12,FALSE)*$H67*$I67/168</f>
        <v>0</v>
      </c>
      <c r="AV67" s="195">
        <f>AJ67*VLOOKUP("Hours",'Model Assumptions'!$B$50:$O$72,13,FALSE)*$H67*$I67/168</f>
        <v>0</v>
      </c>
      <c r="AW67" s="249">
        <f t="shared" si="5"/>
        <v>0</v>
      </c>
      <c r="AX67" s="250">
        <f t="shared" si="21"/>
        <v>0</v>
      </c>
      <c r="AZ67" s="106"/>
      <c r="BA67" s="234">
        <f t="shared" si="7"/>
        <v>0</v>
      </c>
      <c r="BB67" s="234" t="str">
        <f>_xlfn.IFNA(BA67*INDEX('Bees Non-Electric Breakdown'!$E$20:$AQ$20,1,MATCH('Building Breakdown'!AZ67,'Bees Non-Electric Breakdown'!$E$7:$AQ$7,0)),"")</f>
        <v/>
      </c>
    </row>
    <row r="68" spans="2:54" x14ac:dyDescent="0.3">
      <c r="B68" s="106"/>
      <c r="C68" s="106"/>
      <c r="D68" s="115"/>
      <c r="E68" s="116"/>
      <c r="F68" s="116"/>
      <c r="G68" s="116"/>
      <c r="H68" s="116"/>
      <c r="I68" s="116"/>
      <c r="J68" s="116"/>
      <c r="K68" s="117"/>
      <c r="L68" s="116"/>
      <c r="M68" s="118"/>
      <c r="N68" s="125"/>
      <c r="O68" s="126"/>
      <c r="P68" s="117"/>
      <c r="Q68" s="261">
        <f>_xlfn.IFNA(VLOOKUP(D68,'Model Assumptions'!$B$15:$D$17,3,FALSE),0)</f>
        <v>0</v>
      </c>
      <c r="R68" s="270">
        <f t="shared" si="8"/>
        <v>0</v>
      </c>
      <c r="S68" s="271">
        <f t="shared" si="9"/>
        <v>0</v>
      </c>
      <c r="T68" s="271">
        <f>_xlfn.IFNA(((P68*(VLOOKUP($N68,'Model Assumptions'!$B$10:$C$12,2,FALSE)))/2)+$K68,0)</f>
        <v>0</v>
      </c>
      <c r="U68" s="272">
        <f t="shared" si="10"/>
        <v>0</v>
      </c>
      <c r="V68" s="262">
        <f>_xlfn.IFNA(INDEX('Model Assumptions'!$C$30:$F$38,MATCH('Building Breakdown'!$J68,'Model Assumptions'!$B$30:$B$38,0),MATCH('Building Breakdown'!V$22,'Model Assumptions'!$C$29:$F$29,0)),0)</f>
        <v>0</v>
      </c>
      <c r="W68" s="263">
        <f>_xlfn.IFNA(INDEX('Model Assumptions'!$C$30:$F$38,MATCH('Building Breakdown'!$J68,'Model Assumptions'!$B$30:$B$38,0),MATCH('Building Breakdown'!$N68,'Model Assumptions'!$C$29:$F$29,0)),0)</f>
        <v>0</v>
      </c>
      <c r="X68" s="264">
        <f>_xlfn.IFNA(VLOOKUP(O68,'Model Assumptions'!H$30:I$32,2,FALSE),0)</f>
        <v>0</v>
      </c>
      <c r="Y68" s="202">
        <f>(((($S68*$V68)+($T68*$W68)+($U68*$X68))*($G68-(VLOOKUP($D$7,'Model Assumptions'!$B$50:$O$72,2,FALSE))))/1000)*$E68</f>
        <v>0</v>
      </c>
      <c r="Z68" s="203">
        <f>(((($S68*$V68)+($T68*$W68)+($U68*$X68))*($G68-(VLOOKUP($D$7,'Model Assumptions'!$B$50:$O$72,3,FALSE))))/1000)*$E68</f>
        <v>0</v>
      </c>
      <c r="AA68" s="203">
        <f>(((($S68*$V68)+($T68*$W68)+($U68*$X68))*($G68-(VLOOKUP($D$7,'Model Assumptions'!$B$50:$O$72,4,FALSE))))/1000)*$E68</f>
        <v>0</v>
      </c>
      <c r="AB68" s="203">
        <f>(((($S68*$V68)+($T68*$W68)+($U68*$X68))*($G68-(VLOOKUP($D$7,'Model Assumptions'!$B$50:$O$72,5,FALSE))))/1000)*$E68</f>
        <v>0</v>
      </c>
      <c r="AC68" s="203">
        <f>(((($S68*$V68)+($T68*$W68)+($U68*$X68))*($G68-(VLOOKUP($D$7,'Model Assumptions'!$B$50:$O$72,6,FALSE))))/1000)*$E68</f>
        <v>0</v>
      </c>
      <c r="AD68" s="203">
        <f>(((($S68*$V68)+($T68*$W68)+($U68*$X68))*($G68-(VLOOKUP($D$7,'Model Assumptions'!$B$50:$O$72,7,FALSE))))/1000)*$E68</f>
        <v>0</v>
      </c>
      <c r="AE68" s="203">
        <f>(((($S68*$V68)+($T68*$W68)+($U68*$X68))*($G68-(VLOOKUP($D$7,'Model Assumptions'!$B$50:$O$72,8,FALSE))))/1000)*$E68</f>
        <v>0</v>
      </c>
      <c r="AF68" s="203">
        <f>(((($S68*$V68)+($T68*$W68)+($U68*$X68))*($G68-(VLOOKUP($D$7,'Model Assumptions'!$B$50:$O$72,9,FALSE))))/1000)*$E68</f>
        <v>0</v>
      </c>
      <c r="AG68" s="203">
        <f>(((($S68*$V68)+($T68*$W68)+($U68*$X68))*($G68-(VLOOKUP($D$7,'Model Assumptions'!$B$50:$O$72,10,FALSE))))/1000)*$E68</f>
        <v>0</v>
      </c>
      <c r="AH68" s="203">
        <f>(((($S68*$V68)+($T68*$W68)+($U68*$X68))*($G68-(VLOOKUP($D$7,'Model Assumptions'!$B$50:$O$72,11,FALSE))))/1000)*$E68</f>
        <v>0</v>
      </c>
      <c r="AI68" s="203">
        <f>(((($S68*$V68)+($T68*$W68)+($U68*$X68))*($G68-(VLOOKUP($D$7,'Model Assumptions'!$B$50:$O$72,12,FALSE))))/1000)*$E68</f>
        <v>0</v>
      </c>
      <c r="AJ68" s="204">
        <f>(((($S68*$V68)+($T68*$W68)+($U68*$X68))*($G68-(VLOOKUP($D$7,'Model Assumptions'!$B$50:$O$72,13,FALSE))))/1000)*$E68</f>
        <v>0</v>
      </c>
      <c r="AK68" s="193">
        <f>Y68*VLOOKUP("Hours",'Model Assumptions'!$B$50:$O$72,2,FALSE)*$H68*$I68/168</f>
        <v>0</v>
      </c>
      <c r="AL68" s="194">
        <f>Z68*VLOOKUP("Hours",'Model Assumptions'!$B$50:$O$72,3,FALSE)*$H68*$I68/168</f>
        <v>0</v>
      </c>
      <c r="AM68" s="194">
        <f>AA68*VLOOKUP("Hours",'Model Assumptions'!$B$50:$O$72,4,FALSE)*$H68*$I68/168</f>
        <v>0</v>
      </c>
      <c r="AN68" s="194">
        <f>AB68*VLOOKUP("Hours",'Model Assumptions'!$B$50:$O$72,5,FALSE)*$H68*$I68/168</f>
        <v>0</v>
      </c>
      <c r="AO68" s="194">
        <f>AC68*VLOOKUP("Hours",'Model Assumptions'!$B$50:$O$72,6,FALSE)*$H68*$I68/168</f>
        <v>0</v>
      </c>
      <c r="AP68" s="194">
        <f>AD68*VLOOKUP("Hours",'Model Assumptions'!$B$50:$O$72,7,FALSE)*$H68*$I68/168</f>
        <v>0</v>
      </c>
      <c r="AQ68" s="194">
        <f>AE68*VLOOKUP("Hours",'Model Assumptions'!$B$50:$O$72,8,FALSE)*$H68*$I68/168</f>
        <v>0</v>
      </c>
      <c r="AR68" s="194">
        <f>AF68*VLOOKUP("Hours",'Model Assumptions'!$B$50:$O$72,9,FALSE)*$H68*$I68/168</f>
        <v>0</v>
      </c>
      <c r="AS68" s="194">
        <f>AG68*VLOOKUP("Hours",'Model Assumptions'!$B$50:$O$72,10,FALSE)*$H68*$I68/168</f>
        <v>0</v>
      </c>
      <c r="AT68" s="194">
        <f>AH68*VLOOKUP("Hours",'Model Assumptions'!$B$50:$O$72,11,FALSE)*$H68*$I68/168</f>
        <v>0</v>
      </c>
      <c r="AU68" s="194">
        <f>AI68*VLOOKUP("Hours",'Model Assumptions'!$B$50:$O$72,12,FALSE)*$H68*$I68/168</f>
        <v>0</v>
      </c>
      <c r="AV68" s="195">
        <f>AJ68*VLOOKUP("Hours",'Model Assumptions'!$B$50:$O$72,13,FALSE)*$H68*$I68/168</f>
        <v>0</v>
      </c>
      <c r="AW68" s="249">
        <f t="shared" si="5"/>
        <v>0</v>
      </c>
      <c r="AX68" s="250">
        <f t="shared" si="21"/>
        <v>0</v>
      </c>
      <c r="AZ68" s="106"/>
      <c r="BA68" s="234">
        <f t="shared" si="7"/>
        <v>0</v>
      </c>
      <c r="BB68" s="234" t="str">
        <f>_xlfn.IFNA(BA68*INDEX('Bees Non-Electric Breakdown'!$E$20:$AQ$20,1,MATCH('Building Breakdown'!AZ68,'Bees Non-Electric Breakdown'!$E$7:$AQ$7,0)),"")</f>
        <v/>
      </c>
    </row>
    <row r="69" spans="2:54" x14ac:dyDescent="0.3">
      <c r="B69" s="106"/>
      <c r="C69" s="106"/>
      <c r="D69" s="115"/>
      <c r="E69" s="116"/>
      <c r="F69" s="116"/>
      <c r="G69" s="116"/>
      <c r="H69" s="116"/>
      <c r="I69" s="116"/>
      <c r="J69" s="116"/>
      <c r="K69" s="117"/>
      <c r="L69" s="116"/>
      <c r="M69" s="118"/>
      <c r="N69" s="125"/>
      <c r="O69" s="126"/>
      <c r="P69" s="117"/>
      <c r="Q69" s="261">
        <f>_xlfn.IFNA(VLOOKUP(D69,'Model Assumptions'!$B$15:$D$17,3,FALSE),0)</f>
        <v>0</v>
      </c>
      <c r="R69" s="270">
        <f t="shared" si="8"/>
        <v>0</v>
      </c>
      <c r="S69" s="271">
        <f t="shared" si="9"/>
        <v>0</v>
      </c>
      <c r="T69" s="271">
        <f>_xlfn.IFNA(((P69*(VLOOKUP($N69,'Model Assumptions'!$B$10:$C$12,2,FALSE)))/2)+$K69,0)</f>
        <v>0</v>
      </c>
      <c r="U69" s="272">
        <f t="shared" si="10"/>
        <v>0</v>
      </c>
      <c r="V69" s="262">
        <f>_xlfn.IFNA(INDEX('Model Assumptions'!$C$30:$F$38,MATCH('Building Breakdown'!$J69,'Model Assumptions'!$B$30:$B$38,0),MATCH('Building Breakdown'!V$22,'Model Assumptions'!$C$29:$F$29,0)),0)</f>
        <v>0</v>
      </c>
      <c r="W69" s="263">
        <f>_xlfn.IFNA(INDEX('Model Assumptions'!$C$30:$F$38,MATCH('Building Breakdown'!$J69,'Model Assumptions'!$B$30:$B$38,0),MATCH('Building Breakdown'!$N69,'Model Assumptions'!$C$29:$F$29,0)),0)</f>
        <v>0</v>
      </c>
      <c r="X69" s="264">
        <f>_xlfn.IFNA(VLOOKUP(O69,'Model Assumptions'!H$30:I$32,2,FALSE),0)</f>
        <v>0</v>
      </c>
      <c r="Y69" s="202">
        <f>(((($S69*$V69)+($T69*$W69)+($U69*$X69))*($G69-(VLOOKUP($D$7,'Model Assumptions'!$B$50:$O$72,2,FALSE))))/1000)*$E69</f>
        <v>0</v>
      </c>
      <c r="Z69" s="203">
        <f>(((($S69*$V69)+($T69*$W69)+($U69*$X69))*($G69-(VLOOKUP($D$7,'Model Assumptions'!$B$50:$O$72,3,FALSE))))/1000)*$E69</f>
        <v>0</v>
      </c>
      <c r="AA69" s="203">
        <f>(((($S69*$V69)+($T69*$W69)+($U69*$X69))*($G69-(VLOOKUP($D$7,'Model Assumptions'!$B$50:$O$72,4,FALSE))))/1000)*$E69</f>
        <v>0</v>
      </c>
      <c r="AB69" s="203">
        <f>(((($S69*$V69)+($T69*$W69)+($U69*$X69))*($G69-(VLOOKUP($D$7,'Model Assumptions'!$B$50:$O$72,5,FALSE))))/1000)*$E69</f>
        <v>0</v>
      </c>
      <c r="AC69" s="203">
        <f>(((($S69*$V69)+($T69*$W69)+($U69*$X69))*($G69-(VLOOKUP($D$7,'Model Assumptions'!$B$50:$O$72,6,FALSE))))/1000)*$E69</f>
        <v>0</v>
      </c>
      <c r="AD69" s="203">
        <f>(((($S69*$V69)+($T69*$W69)+($U69*$X69))*($G69-(VLOOKUP($D$7,'Model Assumptions'!$B$50:$O$72,7,FALSE))))/1000)*$E69</f>
        <v>0</v>
      </c>
      <c r="AE69" s="203">
        <f>(((($S69*$V69)+($T69*$W69)+($U69*$X69))*($G69-(VLOOKUP($D$7,'Model Assumptions'!$B$50:$O$72,8,FALSE))))/1000)*$E69</f>
        <v>0</v>
      </c>
      <c r="AF69" s="203">
        <f>(((($S69*$V69)+($T69*$W69)+($U69*$X69))*($G69-(VLOOKUP($D$7,'Model Assumptions'!$B$50:$O$72,9,FALSE))))/1000)*$E69</f>
        <v>0</v>
      </c>
      <c r="AG69" s="203">
        <f>(((($S69*$V69)+($T69*$W69)+($U69*$X69))*($G69-(VLOOKUP($D$7,'Model Assumptions'!$B$50:$O$72,10,FALSE))))/1000)*$E69</f>
        <v>0</v>
      </c>
      <c r="AH69" s="203">
        <f>(((($S69*$V69)+($T69*$W69)+($U69*$X69))*($G69-(VLOOKUP($D$7,'Model Assumptions'!$B$50:$O$72,11,FALSE))))/1000)*$E69</f>
        <v>0</v>
      </c>
      <c r="AI69" s="203">
        <f>(((($S69*$V69)+($T69*$W69)+($U69*$X69))*($G69-(VLOOKUP($D$7,'Model Assumptions'!$B$50:$O$72,12,FALSE))))/1000)*$E69</f>
        <v>0</v>
      </c>
      <c r="AJ69" s="204">
        <f>(((($S69*$V69)+($T69*$W69)+($U69*$X69))*($G69-(VLOOKUP($D$7,'Model Assumptions'!$B$50:$O$72,13,FALSE))))/1000)*$E69</f>
        <v>0</v>
      </c>
      <c r="AK69" s="193">
        <f>Y69*VLOOKUP("Hours",'Model Assumptions'!$B$50:$O$72,2,FALSE)*$H69*$I69/168</f>
        <v>0</v>
      </c>
      <c r="AL69" s="194">
        <f>Z69*VLOOKUP("Hours",'Model Assumptions'!$B$50:$O$72,3,FALSE)*$H69*$I69/168</f>
        <v>0</v>
      </c>
      <c r="AM69" s="194">
        <f>AA69*VLOOKUP("Hours",'Model Assumptions'!$B$50:$O$72,4,FALSE)*$H69*$I69/168</f>
        <v>0</v>
      </c>
      <c r="AN69" s="194">
        <f>AB69*VLOOKUP("Hours",'Model Assumptions'!$B$50:$O$72,5,FALSE)*$H69*$I69/168</f>
        <v>0</v>
      </c>
      <c r="AO69" s="194">
        <f>AC69*VLOOKUP("Hours",'Model Assumptions'!$B$50:$O$72,6,FALSE)*$H69*$I69/168</f>
        <v>0</v>
      </c>
      <c r="AP69" s="194">
        <f>AD69*VLOOKUP("Hours",'Model Assumptions'!$B$50:$O$72,7,FALSE)*$H69*$I69/168</f>
        <v>0</v>
      </c>
      <c r="AQ69" s="194">
        <f>AE69*VLOOKUP("Hours",'Model Assumptions'!$B$50:$O$72,8,FALSE)*$H69*$I69/168</f>
        <v>0</v>
      </c>
      <c r="AR69" s="194">
        <f>AF69*VLOOKUP("Hours",'Model Assumptions'!$B$50:$O$72,9,FALSE)*$H69*$I69/168</f>
        <v>0</v>
      </c>
      <c r="AS69" s="194">
        <f>AG69*VLOOKUP("Hours",'Model Assumptions'!$B$50:$O$72,10,FALSE)*$H69*$I69/168</f>
        <v>0</v>
      </c>
      <c r="AT69" s="194">
        <f>AH69*VLOOKUP("Hours",'Model Assumptions'!$B$50:$O$72,11,FALSE)*$H69*$I69/168</f>
        <v>0</v>
      </c>
      <c r="AU69" s="194">
        <f>AI69*VLOOKUP("Hours",'Model Assumptions'!$B$50:$O$72,12,FALSE)*$H69*$I69/168</f>
        <v>0</v>
      </c>
      <c r="AV69" s="195">
        <f>AJ69*VLOOKUP("Hours",'Model Assumptions'!$B$50:$O$72,13,FALSE)*$H69*$I69/168</f>
        <v>0</v>
      </c>
      <c r="AW69" s="249">
        <f t="shared" si="5"/>
        <v>0</v>
      </c>
      <c r="AX69" s="250">
        <f t="shared" si="21"/>
        <v>0</v>
      </c>
      <c r="AZ69" s="106"/>
      <c r="BA69" s="234">
        <f t="shared" si="7"/>
        <v>0</v>
      </c>
      <c r="BB69" s="234" t="str">
        <f>_xlfn.IFNA(BA69*INDEX('Bees Non-Electric Breakdown'!$E$20:$AQ$20,1,MATCH('Building Breakdown'!AZ69,'Bees Non-Electric Breakdown'!$E$7:$AQ$7,0)),"")</f>
        <v/>
      </c>
    </row>
    <row r="70" spans="2:54" x14ac:dyDescent="0.3">
      <c r="B70" s="106"/>
      <c r="C70" s="106"/>
      <c r="D70" s="115"/>
      <c r="E70" s="116"/>
      <c r="F70" s="116"/>
      <c r="G70" s="116"/>
      <c r="H70" s="116"/>
      <c r="I70" s="116"/>
      <c r="J70" s="116"/>
      <c r="K70" s="117"/>
      <c r="L70" s="116"/>
      <c r="M70" s="118"/>
      <c r="N70" s="125"/>
      <c r="O70" s="126"/>
      <c r="P70" s="117"/>
      <c r="Q70" s="261">
        <f>_xlfn.IFNA(VLOOKUP(D70,'Model Assumptions'!$B$15:$D$17,3,FALSE),0)</f>
        <v>0</v>
      </c>
      <c r="R70" s="270">
        <f t="shared" si="8"/>
        <v>0</v>
      </c>
      <c r="S70" s="271">
        <f t="shared" si="9"/>
        <v>0</v>
      </c>
      <c r="T70" s="271">
        <f>_xlfn.IFNA(((P70*(VLOOKUP($N70,'Model Assumptions'!$B$10:$C$12,2,FALSE)))/2)+$K70,0)</f>
        <v>0</v>
      </c>
      <c r="U70" s="272">
        <f t="shared" si="10"/>
        <v>0</v>
      </c>
      <c r="V70" s="262">
        <f>_xlfn.IFNA(INDEX('Model Assumptions'!$C$30:$F$38,MATCH('Building Breakdown'!$J70,'Model Assumptions'!$B$30:$B$38,0),MATCH('Building Breakdown'!V$22,'Model Assumptions'!$C$29:$F$29,0)),0)</f>
        <v>0</v>
      </c>
      <c r="W70" s="263">
        <f>_xlfn.IFNA(INDEX('Model Assumptions'!$C$30:$F$38,MATCH('Building Breakdown'!$J70,'Model Assumptions'!$B$30:$B$38,0),MATCH('Building Breakdown'!$N70,'Model Assumptions'!$C$29:$F$29,0)),0)</f>
        <v>0</v>
      </c>
      <c r="X70" s="264">
        <f>_xlfn.IFNA(VLOOKUP(O70,'Model Assumptions'!H$30:I$32,2,FALSE),0)</f>
        <v>0</v>
      </c>
      <c r="Y70" s="202">
        <f>(((($S70*$V70)+($T70*$W70)+($U70*$X70))*($G70-(VLOOKUP($D$7,'Model Assumptions'!$B$50:$O$72,2,FALSE))))/1000)*$E70</f>
        <v>0</v>
      </c>
      <c r="Z70" s="203">
        <f>(((($S70*$V70)+($T70*$W70)+($U70*$X70))*($G70-(VLOOKUP($D$7,'Model Assumptions'!$B$50:$O$72,3,FALSE))))/1000)*$E70</f>
        <v>0</v>
      </c>
      <c r="AA70" s="203">
        <f>(((($S70*$V70)+($T70*$W70)+($U70*$X70))*($G70-(VLOOKUP($D$7,'Model Assumptions'!$B$50:$O$72,4,FALSE))))/1000)*$E70</f>
        <v>0</v>
      </c>
      <c r="AB70" s="203">
        <f>(((($S70*$V70)+($T70*$W70)+($U70*$X70))*($G70-(VLOOKUP($D$7,'Model Assumptions'!$B$50:$O$72,5,FALSE))))/1000)*$E70</f>
        <v>0</v>
      </c>
      <c r="AC70" s="203">
        <f>(((($S70*$V70)+($T70*$W70)+($U70*$X70))*($G70-(VLOOKUP($D$7,'Model Assumptions'!$B$50:$O$72,6,FALSE))))/1000)*$E70</f>
        <v>0</v>
      </c>
      <c r="AD70" s="203">
        <f>(((($S70*$V70)+($T70*$W70)+($U70*$X70))*($G70-(VLOOKUP($D$7,'Model Assumptions'!$B$50:$O$72,7,FALSE))))/1000)*$E70</f>
        <v>0</v>
      </c>
      <c r="AE70" s="203">
        <f>(((($S70*$V70)+($T70*$W70)+($U70*$X70))*($G70-(VLOOKUP($D$7,'Model Assumptions'!$B$50:$O$72,8,FALSE))))/1000)*$E70</f>
        <v>0</v>
      </c>
      <c r="AF70" s="203">
        <f>(((($S70*$V70)+($T70*$W70)+($U70*$X70))*($G70-(VLOOKUP($D$7,'Model Assumptions'!$B$50:$O$72,9,FALSE))))/1000)*$E70</f>
        <v>0</v>
      </c>
      <c r="AG70" s="203">
        <f>(((($S70*$V70)+($T70*$W70)+($U70*$X70))*($G70-(VLOOKUP($D$7,'Model Assumptions'!$B$50:$O$72,10,FALSE))))/1000)*$E70</f>
        <v>0</v>
      </c>
      <c r="AH70" s="203">
        <f>(((($S70*$V70)+($T70*$W70)+($U70*$X70))*($G70-(VLOOKUP($D$7,'Model Assumptions'!$B$50:$O$72,11,FALSE))))/1000)*$E70</f>
        <v>0</v>
      </c>
      <c r="AI70" s="203">
        <f>(((($S70*$V70)+($T70*$W70)+($U70*$X70))*($G70-(VLOOKUP($D$7,'Model Assumptions'!$B$50:$O$72,12,FALSE))))/1000)*$E70</f>
        <v>0</v>
      </c>
      <c r="AJ70" s="204">
        <f>(((($S70*$V70)+($T70*$W70)+($U70*$X70))*($G70-(VLOOKUP($D$7,'Model Assumptions'!$B$50:$O$72,13,FALSE))))/1000)*$E70</f>
        <v>0</v>
      </c>
      <c r="AK70" s="193">
        <f>Y70*VLOOKUP("Hours",'Model Assumptions'!$B$50:$O$72,2,FALSE)*$H70*$I70/168</f>
        <v>0</v>
      </c>
      <c r="AL70" s="194">
        <f>Z70*VLOOKUP("Hours",'Model Assumptions'!$B$50:$O$72,3,FALSE)*$H70*$I70/168</f>
        <v>0</v>
      </c>
      <c r="AM70" s="194">
        <f>AA70*VLOOKUP("Hours",'Model Assumptions'!$B$50:$O$72,4,FALSE)*$H70*$I70/168</f>
        <v>0</v>
      </c>
      <c r="AN70" s="194">
        <f>AB70*VLOOKUP("Hours",'Model Assumptions'!$B$50:$O$72,5,FALSE)*$H70*$I70/168</f>
        <v>0</v>
      </c>
      <c r="AO70" s="194">
        <f>AC70*VLOOKUP("Hours",'Model Assumptions'!$B$50:$O$72,6,FALSE)*$H70*$I70/168</f>
        <v>0</v>
      </c>
      <c r="AP70" s="194">
        <f>AD70*VLOOKUP("Hours",'Model Assumptions'!$B$50:$O$72,7,FALSE)*$H70*$I70/168</f>
        <v>0</v>
      </c>
      <c r="AQ70" s="194">
        <f>AE70*VLOOKUP("Hours",'Model Assumptions'!$B$50:$O$72,8,FALSE)*$H70*$I70/168</f>
        <v>0</v>
      </c>
      <c r="AR70" s="194">
        <f>AF70*VLOOKUP("Hours",'Model Assumptions'!$B$50:$O$72,9,FALSE)*$H70*$I70/168</f>
        <v>0</v>
      </c>
      <c r="AS70" s="194">
        <f>AG70*VLOOKUP("Hours",'Model Assumptions'!$B$50:$O$72,10,FALSE)*$H70*$I70/168</f>
        <v>0</v>
      </c>
      <c r="AT70" s="194">
        <f>AH70*VLOOKUP("Hours",'Model Assumptions'!$B$50:$O$72,11,FALSE)*$H70*$I70/168</f>
        <v>0</v>
      </c>
      <c r="AU70" s="194">
        <f>AI70*VLOOKUP("Hours",'Model Assumptions'!$B$50:$O$72,12,FALSE)*$H70*$I70/168</f>
        <v>0</v>
      </c>
      <c r="AV70" s="195">
        <f>AJ70*VLOOKUP("Hours",'Model Assumptions'!$B$50:$O$72,13,FALSE)*$H70*$I70/168</f>
        <v>0</v>
      </c>
      <c r="AW70" s="249">
        <f t="shared" si="5"/>
        <v>0</v>
      </c>
      <c r="AX70" s="250">
        <f t="shared" si="21"/>
        <v>0</v>
      </c>
      <c r="AZ70" s="106"/>
      <c r="BA70" s="234">
        <f t="shared" si="7"/>
        <v>0</v>
      </c>
      <c r="BB70" s="234" t="str">
        <f>_xlfn.IFNA(BA70*INDEX('Bees Non-Electric Breakdown'!$E$20:$AQ$20,1,MATCH('Building Breakdown'!AZ70,'Bees Non-Electric Breakdown'!$E$7:$AQ$7,0)),"")</f>
        <v/>
      </c>
    </row>
    <row r="71" spans="2:54" x14ac:dyDescent="0.3">
      <c r="B71" s="106"/>
      <c r="C71" s="106"/>
      <c r="D71" s="115"/>
      <c r="E71" s="116"/>
      <c r="F71" s="116"/>
      <c r="G71" s="116"/>
      <c r="H71" s="116"/>
      <c r="I71" s="116"/>
      <c r="J71" s="116"/>
      <c r="K71" s="117"/>
      <c r="L71" s="116"/>
      <c r="M71" s="118"/>
      <c r="N71" s="125"/>
      <c r="O71" s="126"/>
      <c r="P71" s="117"/>
      <c r="Q71" s="261">
        <f>_xlfn.IFNA(VLOOKUP(D71,'Model Assumptions'!$B$15:$D$17,3,FALSE),0)</f>
        <v>0</v>
      </c>
      <c r="R71" s="270">
        <f t="shared" si="8"/>
        <v>0</v>
      </c>
      <c r="S71" s="271">
        <f t="shared" si="9"/>
        <v>0</v>
      </c>
      <c r="T71" s="271">
        <f>_xlfn.IFNA(((P71*(VLOOKUP($N71,'Model Assumptions'!$B$10:$C$12,2,FALSE)))/2)+$K71,0)</f>
        <v>0</v>
      </c>
      <c r="U71" s="272">
        <f t="shared" si="10"/>
        <v>0</v>
      </c>
      <c r="V71" s="262">
        <f>_xlfn.IFNA(INDEX('Model Assumptions'!$C$30:$F$38,MATCH('Building Breakdown'!$J71,'Model Assumptions'!$B$30:$B$38,0),MATCH('Building Breakdown'!V$22,'Model Assumptions'!$C$29:$F$29,0)),0)</f>
        <v>0</v>
      </c>
      <c r="W71" s="263">
        <f>_xlfn.IFNA(INDEX('Model Assumptions'!$C$30:$F$38,MATCH('Building Breakdown'!$J71,'Model Assumptions'!$B$30:$B$38,0),MATCH('Building Breakdown'!$N71,'Model Assumptions'!$C$29:$F$29,0)),0)</f>
        <v>0</v>
      </c>
      <c r="X71" s="264">
        <f>_xlfn.IFNA(VLOOKUP(O71,'Model Assumptions'!H$30:I$32,2,FALSE),0)</f>
        <v>0</v>
      </c>
      <c r="Y71" s="202">
        <f>(((($S71*$V71)+($T71*$W71)+($U71*$X71))*($G71-(VLOOKUP($D$7,'Model Assumptions'!$B$50:$O$72,2,FALSE))))/1000)*$E71</f>
        <v>0</v>
      </c>
      <c r="Z71" s="203">
        <f>(((($S71*$V71)+($T71*$W71)+($U71*$X71))*($G71-(VLOOKUP($D$7,'Model Assumptions'!$B$50:$O$72,3,FALSE))))/1000)*$E71</f>
        <v>0</v>
      </c>
      <c r="AA71" s="203">
        <f>(((($S71*$V71)+($T71*$W71)+($U71*$X71))*($G71-(VLOOKUP($D$7,'Model Assumptions'!$B$50:$O$72,4,FALSE))))/1000)*$E71</f>
        <v>0</v>
      </c>
      <c r="AB71" s="203">
        <f>(((($S71*$V71)+($T71*$W71)+($U71*$X71))*($G71-(VLOOKUP($D$7,'Model Assumptions'!$B$50:$O$72,5,FALSE))))/1000)*$E71</f>
        <v>0</v>
      </c>
      <c r="AC71" s="203">
        <f>(((($S71*$V71)+($T71*$W71)+($U71*$X71))*($G71-(VLOOKUP($D$7,'Model Assumptions'!$B$50:$O$72,6,FALSE))))/1000)*$E71</f>
        <v>0</v>
      </c>
      <c r="AD71" s="203">
        <f>(((($S71*$V71)+($T71*$W71)+($U71*$X71))*($G71-(VLOOKUP($D$7,'Model Assumptions'!$B$50:$O$72,7,FALSE))))/1000)*$E71</f>
        <v>0</v>
      </c>
      <c r="AE71" s="203">
        <f>(((($S71*$V71)+($T71*$W71)+($U71*$X71))*($G71-(VLOOKUP($D$7,'Model Assumptions'!$B$50:$O$72,8,FALSE))))/1000)*$E71</f>
        <v>0</v>
      </c>
      <c r="AF71" s="203">
        <f>(((($S71*$V71)+($T71*$W71)+($U71*$X71))*($G71-(VLOOKUP($D$7,'Model Assumptions'!$B$50:$O$72,9,FALSE))))/1000)*$E71</f>
        <v>0</v>
      </c>
      <c r="AG71" s="203">
        <f>(((($S71*$V71)+($T71*$W71)+($U71*$X71))*($G71-(VLOOKUP($D$7,'Model Assumptions'!$B$50:$O$72,10,FALSE))))/1000)*$E71</f>
        <v>0</v>
      </c>
      <c r="AH71" s="203">
        <f>(((($S71*$V71)+($T71*$W71)+($U71*$X71))*($G71-(VLOOKUP($D$7,'Model Assumptions'!$B$50:$O$72,11,FALSE))))/1000)*$E71</f>
        <v>0</v>
      </c>
      <c r="AI71" s="203">
        <f>(((($S71*$V71)+($T71*$W71)+($U71*$X71))*($G71-(VLOOKUP($D$7,'Model Assumptions'!$B$50:$O$72,12,FALSE))))/1000)*$E71</f>
        <v>0</v>
      </c>
      <c r="AJ71" s="204">
        <f>(((($S71*$V71)+($T71*$W71)+($U71*$X71))*($G71-(VLOOKUP($D$7,'Model Assumptions'!$B$50:$O$72,13,FALSE))))/1000)*$E71</f>
        <v>0</v>
      </c>
      <c r="AK71" s="193">
        <f>Y71*VLOOKUP("Hours",'Model Assumptions'!$B$50:$O$72,2,FALSE)*$H71*$I71/168</f>
        <v>0</v>
      </c>
      <c r="AL71" s="194">
        <f>Z71*VLOOKUP("Hours",'Model Assumptions'!$B$50:$O$72,3,FALSE)*$H71*$I71/168</f>
        <v>0</v>
      </c>
      <c r="AM71" s="194">
        <f>AA71*VLOOKUP("Hours",'Model Assumptions'!$B$50:$O$72,4,FALSE)*$H71*$I71/168</f>
        <v>0</v>
      </c>
      <c r="AN71" s="194">
        <f>AB71*VLOOKUP("Hours",'Model Assumptions'!$B$50:$O$72,5,FALSE)*$H71*$I71/168</f>
        <v>0</v>
      </c>
      <c r="AO71" s="194">
        <f>AC71*VLOOKUP("Hours",'Model Assumptions'!$B$50:$O$72,6,FALSE)*$H71*$I71/168</f>
        <v>0</v>
      </c>
      <c r="AP71" s="194">
        <f>AD71*VLOOKUP("Hours",'Model Assumptions'!$B$50:$O$72,7,FALSE)*$H71*$I71/168</f>
        <v>0</v>
      </c>
      <c r="AQ71" s="194">
        <f>AE71*VLOOKUP("Hours",'Model Assumptions'!$B$50:$O$72,8,FALSE)*$H71*$I71/168</f>
        <v>0</v>
      </c>
      <c r="AR71" s="194">
        <f>AF71*VLOOKUP("Hours",'Model Assumptions'!$B$50:$O$72,9,FALSE)*$H71*$I71/168</f>
        <v>0</v>
      </c>
      <c r="AS71" s="194">
        <f>AG71*VLOOKUP("Hours",'Model Assumptions'!$B$50:$O$72,10,FALSE)*$H71*$I71/168</f>
        <v>0</v>
      </c>
      <c r="AT71" s="194">
        <f>AH71*VLOOKUP("Hours",'Model Assumptions'!$B$50:$O$72,11,FALSE)*$H71*$I71/168</f>
        <v>0</v>
      </c>
      <c r="AU71" s="194">
        <f>AI71*VLOOKUP("Hours",'Model Assumptions'!$B$50:$O$72,12,FALSE)*$H71*$I71/168</f>
        <v>0</v>
      </c>
      <c r="AV71" s="195">
        <f>AJ71*VLOOKUP("Hours",'Model Assumptions'!$B$50:$O$72,13,FALSE)*$H71*$I71/168</f>
        <v>0</v>
      </c>
      <c r="AW71" s="249">
        <f t="shared" si="5"/>
        <v>0</v>
      </c>
      <c r="AX71" s="250">
        <f t="shared" si="21"/>
        <v>0</v>
      </c>
      <c r="AZ71" s="106"/>
      <c r="BA71" s="234">
        <f t="shared" si="7"/>
        <v>0</v>
      </c>
      <c r="BB71" s="234" t="str">
        <f>_xlfn.IFNA(BA71*INDEX('Bees Non-Electric Breakdown'!$E$20:$AQ$20,1,MATCH('Building Breakdown'!AZ71,'Bees Non-Electric Breakdown'!$E$7:$AQ$7,0)),"")</f>
        <v/>
      </c>
    </row>
    <row r="72" spans="2:54" x14ac:dyDescent="0.3">
      <c r="B72" s="106"/>
      <c r="C72" s="106"/>
      <c r="D72" s="115"/>
      <c r="E72" s="116"/>
      <c r="F72" s="116"/>
      <c r="G72" s="116"/>
      <c r="H72" s="116"/>
      <c r="I72" s="116"/>
      <c r="J72" s="116"/>
      <c r="K72" s="117"/>
      <c r="L72" s="116"/>
      <c r="M72" s="118"/>
      <c r="N72" s="125"/>
      <c r="O72" s="126"/>
      <c r="P72" s="117"/>
      <c r="Q72" s="261">
        <f>_xlfn.IFNA(VLOOKUP(D72,'Model Assumptions'!$B$15:$D$17,3,FALSE),0)</f>
        <v>0</v>
      </c>
      <c r="R72" s="270">
        <f t="shared" si="8"/>
        <v>0</v>
      </c>
      <c r="S72" s="271">
        <f t="shared" si="9"/>
        <v>0</v>
      </c>
      <c r="T72" s="271">
        <f>_xlfn.IFNA(((P72*(VLOOKUP($N72,'Model Assumptions'!$B$10:$C$12,2,FALSE)))/2)+$K72,0)</f>
        <v>0</v>
      </c>
      <c r="U72" s="272">
        <f t="shared" si="10"/>
        <v>0</v>
      </c>
      <c r="V72" s="262">
        <f>_xlfn.IFNA(INDEX('Model Assumptions'!$C$30:$F$38,MATCH('Building Breakdown'!$J72,'Model Assumptions'!$B$30:$B$38,0),MATCH('Building Breakdown'!V$22,'Model Assumptions'!$C$29:$F$29,0)),0)</f>
        <v>0</v>
      </c>
      <c r="W72" s="263">
        <f>_xlfn.IFNA(INDEX('Model Assumptions'!$C$30:$F$38,MATCH('Building Breakdown'!$J72,'Model Assumptions'!$B$30:$B$38,0),MATCH('Building Breakdown'!$N72,'Model Assumptions'!$C$29:$F$29,0)),0)</f>
        <v>0</v>
      </c>
      <c r="X72" s="264">
        <f>_xlfn.IFNA(VLOOKUP(O72,'Model Assumptions'!H$30:I$32,2,FALSE),0)</f>
        <v>0</v>
      </c>
      <c r="Y72" s="202">
        <f>(((($S72*$V72)+($T72*$W72)+($U72*$X72))*($G72-(VLOOKUP($D$7,'Model Assumptions'!$B$50:$O$72,2,FALSE))))/1000)*$E72</f>
        <v>0</v>
      </c>
      <c r="Z72" s="203">
        <f>(((($S72*$V72)+($T72*$W72)+($U72*$X72))*($G72-(VLOOKUP($D$7,'Model Assumptions'!$B$50:$O$72,3,FALSE))))/1000)*$E72</f>
        <v>0</v>
      </c>
      <c r="AA72" s="203">
        <f>(((($S72*$V72)+($T72*$W72)+($U72*$X72))*($G72-(VLOOKUP($D$7,'Model Assumptions'!$B$50:$O$72,4,FALSE))))/1000)*$E72</f>
        <v>0</v>
      </c>
      <c r="AB72" s="203">
        <f>(((($S72*$V72)+($T72*$W72)+($U72*$X72))*($G72-(VLOOKUP($D$7,'Model Assumptions'!$B$50:$O$72,5,FALSE))))/1000)*$E72</f>
        <v>0</v>
      </c>
      <c r="AC72" s="203">
        <f>(((($S72*$V72)+($T72*$W72)+($U72*$X72))*($G72-(VLOOKUP($D$7,'Model Assumptions'!$B$50:$O$72,6,FALSE))))/1000)*$E72</f>
        <v>0</v>
      </c>
      <c r="AD72" s="203">
        <f>(((($S72*$V72)+($T72*$W72)+($U72*$X72))*($G72-(VLOOKUP($D$7,'Model Assumptions'!$B$50:$O$72,7,FALSE))))/1000)*$E72</f>
        <v>0</v>
      </c>
      <c r="AE72" s="203">
        <f>(((($S72*$V72)+($T72*$W72)+($U72*$X72))*($G72-(VLOOKUP($D$7,'Model Assumptions'!$B$50:$O$72,8,FALSE))))/1000)*$E72</f>
        <v>0</v>
      </c>
      <c r="AF72" s="203">
        <f>(((($S72*$V72)+($T72*$W72)+($U72*$X72))*($G72-(VLOOKUP($D$7,'Model Assumptions'!$B$50:$O$72,9,FALSE))))/1000)*$E72</f>
        <v>0</v>
      </c>
      <c r="AG72" s="203">
        <f>(((($S72*$V72)+($T72*$W72)+($U72*$X72))*($G72-(VLOOKUP($D$7,'Model Assumptions'!$B$50:$O$72,10,FALSE))))/1000)*$E72</f>
        <v>0</v>
      </c>
      <c r="AH72" s="203">
        <f>(((($S72*$V72)+($T72*$W72)+($U72*$X72))*($G72-(VLOOKUP($D$7,'Model Assumptions'!$B$50:$O$72,11,FALSE))))/1000)*$E72</f>
        <v>0</v>
      </c>
      <c r="AI72" s="203">
        <f>(((($S72*$V72)+($T72*$W72)+($U72*$X72))*($G72-(VLOOKUP($D$7,'Model Assumptions'!$B$50:$O$72,12,FALSE))))/1000)*$E72</f>
        <v>0</v>
      </c>
      <c r="AJ72" s="204">
        <f>(((($S72*$V72)+($T72*$W72)+($U72*$X72))*($G72-(VLOOKUP($D$7,'Model Assumptions'!$B$50:$O$72,13,FALSE))))/1000)*$E72</f>
        <v>0</v>
      </c>
      <c r="AK72" s="193">
        <f>Y72*VLOOKUP("Hours",'Model Assumptions'!$B$50:$O$72,2,FALSE)*$H72*$I72/168</f>
        <v>0</v>
      </c>
      <c r="AL72" s="194">
        <f>Z72*VLOOKUP("Hours",'Model Assumptions'!$B$50:$O$72,3,FALSE)*$H72*$I72/168</f>
        <v>0</v>
      </c>
      <c r="AM72" s="194">
        <f>AA72*VLOOKUP("Hours",'Model Assumptions'!$B$50:$O$72,4,FALSE)*$H72*$I72/168</f>
        <v>0</v>
      </c>
      <c r="AN72" s="194">
        <f>AB72*VLOOKUP("Hours",'Model Assumptions'!$B$50:$O$72,5,FALSE)*$H72*$I72/168</f>
        <v>0</v>
      </c>
      <c r="AO72" s="194">
        <f>AC72*VLOOKUP("Hours",'Model Assumptions'!$B$50:$O$72,6,FALSE)*$H72*$I72/168</f>
        <v>0</v>
      </c>
      <c r="AP72" s="194">
        <f>AD72*VLOOKUP("Hours",'Model Assumptions'!$B$50:$O$72,7,FALSE)*$H72*$I72/168</f>
        <v>0</v>
      </c>
      <c r="AQ72" s="194">
        <f>AE72*VLOOKUP("Hours",'Model Assumptions'!$B$50:$O$72,8,FALSE)*$H72*$I72/168</f>
        <v>0</v>
      </c>
      <c r="AR72" s="194">
        <f>AF72*VLOOKUP("Hours",'Model Assumptions'!$B$50:$O$72,9,FALSE)*$H72*$I72/168</f>
        <v>0</v>
      </c>
      <c r="AS72" s="194">
        <f>AG72*VLOOKUP("Hours",'Model Assumptions'!$B$50:$O$72,10,FALSE)*$H72*$I72/168</f>
        <v>0</v>
      </c>
      <c r="AT72" s="194">
        <f>AH72*VLOOKUP("Hours",'Model Assumptions'!$B$50:$O$72,11,FALSE)*$H72*$I72/168</f>
        <v>0</v>
      </c>
      <c r="AU72" s="194">
        <f>AI72*VLOOKUP("Hours",'Model Assumptions'!$B$50:$O$72,12,FALSE)*$H72*$I72/168</f>
        <v>0</v>
      </c>
      <c r="AV72" s="195">
        <f>AJ72*VLOOKUP("Hours",'Model Assumptions'!$B$50:$O$72,13,FALSE)*$H72*$I72/168</f>
        <v>0</v>
      </c>
      <c r="AW72" s="249">
        <f t="shared" si="5"/>
        <v>0</v>
      </c>
      <c r="AX72" s="250">
        <f t="shared" si="21"/>
        <v>0</v>
      </c>
      <c r="AZ72" s="106"/>
      <c r="BA72" s="234">
        <f t="shared" si="7"/>
        <v>0</v>
      </c>
      <c r="BB72" s="234" t="str">
        <f>_xlfn.IFNA(BA72*INDEX('Bees Non-Electric Breakdown'!$E$20:$AQ$20,1,MATCH('Building Breakdown'!AZ72,'Bees Non-Electric Breakdown'!$E$7:$AQ$7,0)),"")</f>
        <v/>
      </c>
    </row>
    <row r="73" spans="2:54" x14ac:dyDescent="0.3">
      <c r="B73" s="106"/>
      <c r="C73" s="106"/>
      <c r="D73" s="115"/>
      <c r="E73" s="116"/>
      <c r="F73" s="116"/>
      <c r="G73" s="116"/>
      <c r="H73" s="116"/>
      <c r="I73" s="116"/>
      <c r="J73" s="116"/>
      <c r="K73" s="117"/>
      <c r="L73" s="116"/>
      <c r="M73" s="118"/>
      <c r="N73" s="125"/>
      <c r="O73" s="126"/>
      <c r="P73" s="117"/>
      <c r="Q73" s="261">
        <f>_xlfn.IFNA(VLOOKUP(D73,'Model Assumptions'!$B$15:$D$17,3,FALSE),0)</f>
        <v>0</v>
      </c>
      <c r="R73" s="270">
        <f t="shared" si="8"/>
        <v>0</v>
      </c>
      <c r="S73" s="271">
        <f t="shared" si="9"/>
        <v>0</v>
      </c>
      <c r="T73" s="271">
        <f>_xlfn.IFNA(((P73*(VLOOKUP($N73,'Model Assumptions'!$B$10:$C$12,2,FALSE)))/2)+$K73,0)</f>
        <v>0</v>
      </c>
      <c r="U73" s="272">
        <f t="shared" si="10"/>
        <v>0</v>
      </c>
      <c r="V73" s="262">
        <f>_xlfn.IFNA(INDEX('Model Assumptions'!$C$30:$F$38,MATCH('Building Breakdown'!$J73,'Model Assumptions'!$B$30:$B$38,0),MATCH('Building Breakdown'!V$22,'Model Assumptions'!$C$29:$F$29,0)),0)</f>
        <v>0</v>
      </c>
      <c r="W73" s="263">
        <f>_xlfn.IFNA(INDEX('Model Assumptions'!$C$30:$F$38,MATCH('Building Breakdown'!$J73,'Model Assumptions'!$B$30:$B$38,0),MATCH('Building Breakdown'!$N73,'Model Assumptions'!$C$29:$F$29,0)),0)</f>
        <v>0</v>
      </c>
      <c r="X73" s="264">
        <f>_xlfn.IFNA(VLOOKUP(O73,'Model Assumptions'!H$30:I$32,2,FALSE),0)</f>
        <v>0</v>
      </c>
      <c r="Y73" s="202">
        <f>(((($S73*$V73)+($T73*$W73)+($U73*$X73))*($G73-(VLOOKUP($D$7,'Model Assumptions'!$B$50:$O$72,2,FALSE))))/1000)*$E73</f>
        <v>0</v>
      </c>
      <c r="Z73" s="203">
        <f>(((($S73*$V73)+($T73*$W73)+($U73*$X73))*($G73-(VLOOKUP($D$7,'Model Assumptions'!$B$50:$O$72,3,FALSE))))/1000)*$E73</f>
        <v>0</v>
      </c>
      <c r="AA73" s="203">
        <f>(((($S73*$V73)+($T73*$W73)+($U73*$X73))*($G73-(VLOOKUP($D$7,'Model Assumptions'!$B$50:$O$72,4,FALSE))))/1000)*$E73</f>
        <v>0</v>
      </c>
      <c r="AB73" s="203">
        <f>(((($S73*$V73)+($T73*$W73)+($U73*$X73))*($G73-(VLOOKUP($D$7,'Model Assumptions'!$B$50:$O$72,5,FALSE))))/1000)*$E73</f>
        <v>0</v>
      </c>
      <c r="AC73" s="203">
        <f>(((($S73*$V73)+($T73*$W73)+($U73*$X73))*($G73-(VLOOKUP($D$7,'Model Assumptions'!$B$50:$O$72,6,FALSE))))/1000)*$E73</f>
        <v>0</v>
      </c>
      <c r="AD73" s="203">
        <f>(((($S73*$V73)+($T73*$W73)+($U73*$X73))*($G73-(VLOOKUP($D$7,'Model Assumptions'!$B$50:$O$72,7,FALSE))))/1000)*$E73</f>
        <v>0</v>
      </c>
      <c r="AE73" s="203">
        <f>(((($S73*$V73)+($T73*$W73)+($U73*$X73))*($G73-(VLOOKUP($D$7,'Model Assumptions'!$B$50:$O$72,8,FALSE))))/1000)*$E73</f>
        <v>0</v>
      </c>
      <c r="AF73" s="203">
        <f>(((($S73*$V73)+($T73*$W73)+($U73*$X73))*($G73-(VLOOKUP($D$7,'Model Assumptions'!$B$50:$O$72,9,FALSE))))/1000)*$E73</f>
        <v>0</v>
      </c>
      <c r="AG73" s="203">
        <f>(((($S73*$V73)+($T73*$W73)+($U73*$X73))*($G73-(VLOOKUP($D$7,'Model Assumptions'!$B$50:$O$72,10,FALSE))))/1000)*$E73</f>
        <v>0</v>
      </c>
      <c r="AH73" s="203">
        <f>(((($S73*$V73)+($T73*$W73)+($U73*$X73))*($G73-(VLOOKUP($D$7,'Model Assumptions'!$B$50:$O$72,11,FALSE))))/1000)*$E73</f>
        <v>0</v>
      </c>
      <c r="AI73" s="203">
        <f>(((($S73*$V73)+($T73*$W73)+($U73*$X73))*($G73-(VLOOKUP($D$7,'Model Assumptions'!$B$50:$O$72,12,FALSE))))/1000)*$E73</f>
        <v>0</v>
      </c>
      <c r="AJ73" s="204">
        <f>(((($S73*$V73)+($T73*$W73)+($U73*$X73))*($G73-(VLOOKUP($D$7,'Model Assumptions'!$B$50:$O$72,13,FALSE))))/1000)*$E73</f>
        <v>0</v>
      </c>
      <c r="AK73" s="193">
        <f>Y73*VLOOKUP("Hours",'Model Assumptions'!$B$50:$O$72,2,FALSE)*$H73*$I73/168</f>
        <v>0</v>
      </c>
      <c r="AL73" s="194">
        <f>Z73*VLOOKUP("Hours",'Model Assumptions'!$B$50:$O$72,3,FALSE)*$H73*$I73/168</f>
        <v>0</v>
      </c>
      <c r="AM73" s="194">
        <f>AA73*VLOOKUP("Hours",'Model Assumptions'!$B$50:$O$72,4,FALSE)*$H73*$I73/168</f>
        <v>0</v>
      </c>
      <c r="AN73" s="194">
        <f>AB73*VLOOKUP("Hours",'Model Assumptions'!$B$50:$O$72,5,FALSE)*$H73*$I73/168</f>
        <v>0</v>
      </c>
      <c r="AO73" s="194">
        <f>AC73*VLOOKUP("Hours",'Model Assumptions'!$B$50:$O$72,6,FALSE)*$H73*$I73/168</f>
        <v>0</v>
      </c>
      <c r="AP73" s="194">
        <f>AD73*VLOOKUP("Hours",'Model Assumptions'!$B$50:$O$72,7,FALSE)*$H73*$I73/168</f>
        <v>0</v>
      </c>
      <c r="AQ73" s="194">
        <f>AE73*VLOOKUP("Hours",'Model Assumptions'!$B$50:$O$72,8,FALSE)*$H73*$I73/168</f>
        <v>0</v>
      </c>
      <c r="AR73" s="194">
        <f>AF73*VLOOKUP("Hours",'Model Assumptions'!$B$50:$O$72,9,FALSE)*$H73*$I73/168</f>
        <v>0</v>
      </c>
      <c r="AS73" s="194">
        <f>AG73*VLOOKUP("Hours",'Model Assumptions'!$B$50:$O$72,10,FALSE)*$H73*$I73/168</f>
        <v>0</v>
      </c>
      <c r="AT73" s="194">
        <f>AH73*VLOOKUP("Hours",'Model Assumptions'!$B$50:$O$72,11,FALSE)*$H73*$I73/168</f>
        <v>0</v>
      </c>
      <c r="AU73" s="194">
        <f>AI73*VLOOKUP("Hours",'Model Assumptions'!$B$50:$O$72,12,FALSE)*$H73*$I73/168</f>
        <v>0</v>
      </c>
      <c r="AV73" s="195">
        <f>AJ73*VLOOKUP("Hours",'Model Assumptions'!$B$50:$O$72,13,FALSE)*$H73*$I73/168</f>
        <v>0</v>
      </c>
      <c r="AW73" s="249">
        <f t="shared" si="5"/>
        <v>0</v>
      </c>
      <c r="AX73" s="250">
        <f t="shared" si="21"/>
        <v>0</v>
      </c>
      <c r="AZ73" s="106"/>
      <c r="BA73" s="234">
        <f t="shared" si="7"/>
        <v>0</v>
      </c>
      <c r="BB73" s="234" t="str">
        <f>_xlfn.IFNA(BA73*INDEX('Bees Non-Electric Breakdown'!$E$20:$AQ$20,1,MATCH('Building Breakdown'!AZ73,'Bees Non-Electric Breakdown'!$E$7:$AQ$7,0)),"")</f>
        <v/>
      </c>
    </row>
    <row r="74" spans="2:54" x14ac:dyDescent="0.3">
      <c r="B74" s="106"/>
      <c r="C74" s="106"/>
      <c r="D74" s="115"/>
      <c r="E74" s="116"/>
      <c r="F74" s="116"/>
      <c r="G74" s="116"/>
      <c r="H74" s="116"/>
      <c r="I74" s="116"/>
      <c r="J74" s="116"/>
      <c r="K74" s="117"/>
      <c r="L74" s="116"/>
      <c r="M74" s="118"/>
      <c r="N74" s="125"/>
      <c r="O74" s="126"/>
      <c r="P74" s="117"/>
      <c r="Q74" s="261">
        <f>_xlfn.IFNA(VLOOKUP(D74,'Model Assumptions'!$B$15:$D$17,3,FALSE),0)</f>
        <v>0</v>
      </c>
      <c r="R74" s="270">
        <f t="shared" si="8"/>
        <v>0</v>
      </c>
      <c r="S74" s="271">
        <f t="shared" si="9"/>
        <v>0</v>
      </c>
      <c r="T74" s="271">
        <f>_xlfn.IFNA(((P74*(VLOOKUP($N74,'Model Assumptions'!$B$10:$C$12,2,FALSE)))/2)+$K74,0)</f>
        <v>0</v>
      </c>
      <c r="U74" s="272">
        <f t="shared" si="10"/>
        <v>0</v>
      </c>
      <c r="V74" s="262">
        <f>_xlfn.IFNA(INDEX('Model Assumptions'!$C$30:$F$38,MATCH('Building Breakdown'!$J74,'Model Assumptions'!$B$30:$B$38,0),MATCH('Building Breakdown'!V$22,'Model Assumptions'!$C$29:$F$29,0)),0)</f>
        <v>0</v>
      </c>
      <c r="W74" s="263">
        <f>_xlfn.IFNA(INDEX('Model Assumptions'!$C$30:$F$38,MATCH('Building Breakdown'!$J74,'Model Assumptions'!$B$30:$B$38,0),MATCH('Building Breakdown'!$N74,'Model Assumptions'!$C$29:$F$29,0)),0)</f>
        <v>0</v>
      </c>
      <c r="X74" s="264">
        <f>_xlfn.IFNA(VLOOKUP(O74,'Model Assumptions'!H$30:I$32,2,FALSE),0)</f>
        <v>0</v>
      </c>
      <c r="Y74" s="202">
        <f>(((($S74*$V74)+($T74*$W74)+($U74*$X74))*($G74-(VLOOKUP($D$7,'Model Assumptions'!$B$50:$O$72,2,FALSE))))/1000)*$E74</f>
        <v>0</v>
      </c>
      <c r="Z74" s="203">
        <f>(((($S74*$V74)+($T74*$W74)+($U74*$X74))*($G74-(VLOOKUP($D$7,'Model Assumptions'!$B$50:$O$72,3,FALSE))))/1000)*$E74</f>
        <v>0</v>
      </c>
      <c r="AA74" s="203">
        <f>(((($S74*$V74)+($T74*$W74)+($U74*$X74))*($G74-(VLOOKUP($D$7,'Model Assumptions'!$B$50:$O$72,4,FALSE))))/1000)*$E74</f>
        <v>0</v>
      </c>
      <c r="AB74" s="203">
        <f>(((($S74*$V74)+($T74*$W74)+($U74*$X74))*($G74-(VLOOKUP($D$7,'Model Assumptions'!$B$50:$O$72,5,FALSE))))/1000)*$E74</f>
        <v>0</v>
      </c>
      <c r="AC74" s="203">
        <f>(((($S74*$V74)+($T74*$W74)+($U74*$X74))*($G74-(VLOOKUP($D$7,'Model Assumptions'!$B$50:$O$72,6,FALSE))))/1000)*$E74</f>
        <v>0</v>
      </c>
      <c r="AD74" s="203">
        <f>(((($S74*$V74)+($T74*$W74)+($U74*$X74))*($G74-(VLOOKUP($D$7,'Model Assumptions'!$B$50:$O$72,7,FALSE))))/1000)*$E74</f>
        <v>0</v>
      </c>
      <c r="AE74" s="203">
        <f>(((($S74*$V74)+($T74*$W74)+($U74*$X74))*($G74-(VLOOKUP($D$7,'Model Assumptions'!$B$50:$O$72,8,FALSE))))/1000)*$E74</f>
        <v>0</v>
      </c>
      <c r="AF74" s="203">
        <f>(((($S74*$V74)+($T74*$W74)+($U74*$X74))*($G74-(VLOOKUP($D$7,'Model Assumptions'!$B$50:$O$72,9,FALSE))))/1000)*$E74</f>
        <v>0</v>
      </c>
      <c r="AG74" s="203">
        <f>(((($S74*$V74)+($T74*$W74)+($U74*$X74))*($G74-(VLOOKUP($D$7,'Model Assumptions'!$B$50:$O$72,10,FALSE))))/1000)*$E74</f>
        <v>0</v>
      </c>
      <c r="AH74" s="203">
        <f>(((($S74*$V74)+($T74*$W74)+($U74*$X74))*($G74-(VLOOKUP($D$7,'Model Assumptions'!$B$50:$O$72,11,FALSE))))/1000)*$E74</f>
        <v>0</v>
      </c>
      <c r="AI74" s="203">
        <f>(((($S74*$V74)+($T74*$W74)+($U74*$X74))*($G74-(VLOOKUP($D$7,'Model Assumptions'!$B$50:$O$72,12,FALSE))))/1000)*$E74</f>
        <v>0</v>
      </c>
      <c r="AJ74" s="204">
        <f>(((($S74*$V74)+($T74*$W74)+($U74*$X74))*($G74-(VLOOKUP($D$7,'Model Assumptions'!$B$50:$O$72,13,FALSE))))/1000)*$E74</f>
        <v>0</v>
      </c>
      <c r="AK74" s="193">
        <f>Y74*VLOOKUP("Hours",'Model Assumptions'!$B$50:$O$72,2,FALSE)*$H74*$I74/168</f>
        <v>0</v>
      </c>
      <c r="AL74" s="194">
        <f>Z74*VLOOKUP("Hours",'Model Assumptions'!$B$50:$O$72,3,FALSE)*$H74*$I74/168</f>
        <v>0</v>
      </c>
      <c r="AM74" s="194">
        <f>AA74*VLOOKUP("Hours",'Model Assumptions'!$B$50:$O$72,4,FALSE)*$H74*$I74/168</f>
        <v>0</v>
      </c>
      <c r="AN74" s="194">
        <f>AB74*VLOOKUP("Hours",'Model Assumptions'!$B$50:$O$72,5,FALSE)*$H74*$I74/168</f>
        <v>0</v>
      </c>
      <c r="AO74" s="194">
        <f>AC74*VLOOKUP("Hours",'Model Assumptions'!$B$50:$O$72,6,FALSE)*$H74*$I74/168</f>
        <v>0</v>
      </c>
      <c r="AP74" s="194">
        <f>AD74*VLOOKUP("Hours",'Model Assumptions'!$B$50:$O$72,7,FALSE)*$H74*$I74/168</f>
        <v>0</v>
      </c>
      <c r="AQ74" s="194">
        <f>AE74*VLOOKUP("Hours",'Model Assumptions'!$B$50:$O$72,8,FALSE)*$H74*$I74/168</f>
        <v>0</v>
      </c>
      <c r="AR74" s="194">
        <f>AF74*VLOOKUP("Hours",'Model Assumptions'!$B$50:$O$72,9,FALSE)*$H74*$I74/168</f>
        <v>0</v>
      </c>
      <c r="AS74" s="194">
        <f>AG74*VLOOKUP("Hours",'Model Assumptions'!$B$50:$O$72,10,FALSE)*$H74*$I74/168</f>
        <v>0</v>
      </c>
      <c r="AT74" s="194">
        <f>AH74*VLOOKUP("Hours",'Model Assumptions'!$B$50:$O$72,11,FALSE)*$H74*$I74/168</f>
        <v>0</v>
      </c>
      <c r="AU74" s="194">
        <f>AI74*VLOOKUP("Hours",'Model Assumptions'!$B$50:$O$72,12,FALSE)*$H74*$I74/168</f>
        <v>0</v>
      </c>
      <c r="AV74" s="195">
        <f>AJ74*VLOOKUP("Hours",'Model Assumptions'!$B$50:$O$72,13,FALSE)*$H74*$I74/168</f>
        <v>0</v>
      </c>
      <c r="AW74" s="249">
        <f t="shared" si="5"/>
        <v>0</v>
      </c>
      <c r="AX74" s="250">
        <f t="shared" si="21"/>
        <v>0</v>
      </c>
      <c r="AZ74" s="106"/>
      <c r="BA74" s="234">
        <f t="shared" si="7"/>
        <v>0</v>
      </c>
      <c r="BB74" s="234" t="str">
        <f>_xlfn.IFNA(BA74*INDEX('Bees Non-Electric Breakdown'!$E$20:$AQ$20,1,MATCH('Building Breakdown'!AZ74,'Bees Non-Electric Breakdown'!$E$7:$AQ$7,0)),"")</f>
        <v/>
      </c>
    </row>
    <row r="75" spans="2:54" x14ac:dyDescent="0.3">
      <c r="B75" s="106"/>
      <c r="C75" s="106"/>
      <c r="D75" s="115"/>
      <c r="E75" s="116"/>
      <c r="F75" s="116"/>
      <c r="G75" s="116"/>
      <c r="H75" s="116"/>
      <c r="I75" s="116"/>
      <c r="J75" s="116"/>
      <c r="K75" s="117"/>
      <c r="L75" s="116"/>
      <c r="M75" s="118"/>
      <c r="N75" s="125"/>
      <c r="O75" s="126"/>
      <c r="P75" s="117"/>
      <c r="Q75" s="261">
        <f>_xlfn.IFNA(VLOOKUP(D75,'Model Assumptions'!$B$15:$D$17,3,FALSE),0)</f>
        <v>0</v>
      </c>
      <c r="R75" s="270">
        <f t="shared" si="8"/>
        <v>0</v>
      </c>
      <c r="S75" s="271">
        <f t="shared" si="9"/>
        <v>0</v>
      </c>
      <c r="T75" s="271">
        <f>_xlfn.IFNA(((P75*(VLOOKUP($N75,'Model Assumptions'!$B$10:$C$12,2,FALSE)))/2)+$K75,0)</f>
        <v>0</v>
      </c>
      <c r="U75" s="272">
        <f t="shared" si="10"/>
        <v>0</v>
      </c>
      <c r="V75" s="262">
        <f>_xlfn.IFNA(INDEX('Model Assumptions'!$C$30:$F$38,MATCH('Building Breakdown'!$J75,'Model Assumptions'!$B$30:$B$38,0),MATCH('Building Breakdown'!V$22,'Model Assumptions'!$C$29:$F$29,0)),0)</f>
        <v>0</v>
      </c>
      <c r="W75" s="263">
        <f>_xlfn.IFNA(INDEX('Model Assumptions'!$C$30:$F$38,MATCH('Building Breakdown'!$J75,'Model Assumptions'!$B$30:$B$38,0),MATCH('Building Breakdown'!$N75,'Model Assumptions'!$C$29:$F$29,0)),0)</f>
        <v>0</v>
      </c>
      <c r="X75" s="264">
        <f>_xlfn.IFNA(VLOOKUP(O75,'Model Assumptions'!H$30:I$32,2,FALSE),0)</f>
        <v>0</v>
      </c>
      <c r="Y75" s="202">
        <f>(((($S75*$V75)+($T75*$W75)+($U75*$X75))*($G75-(VLOOKUP($D$7,'Model Assumptions'!$B$50:$O$72,2,FALSE))))/1000)*$E75</f>
        <v>0</v>
      </c>
      <c r="Z75" s="203">
        <f>(((($S75*$V75)+($T75*$W75)+($U75*$X75))*($G75-(VLOOKUP($D$7,'Model Assumptions'!$B$50:$O$72,3,FALSE))))/1000)*$E75</f>
        <v>0</v>
      </c>
      <c r="AA75" s="203">
        <f>(((($S75*$V75)+($T75*$W75)+($U75*$X75))*($G75-(VLOOKUP($D$7,'Model Assumptions'!$B$50:$O$72,4,FALSE))))/1000)*$E75</f>
        <v>0</v>
      </c>
      <c r="AB75" s="203">
        <f>(((($S75*$V75)+($T75*$W75)+($U75*$X75))*($G75-(VLOOKUP($D$7,'Model Assumptions'!$B$50:$O$72,5,FALSE))))/1000)*$E75</f>
        <v>0</v>
      </c>
      <c r="AC75" s="203">
        <f>(((($S75*$V75)+($T75*$W75)+($U75*$X75))*($G75-(VLOOKUP($D$7,'Model Assumptions'!$B$50:$O$72,6,FALSE))))/1000)*$E75</f>
        <v>0</v>
      </c>
      <c r="AD75" s="203">
        <f>(((($S75*$V75)+($T75*$W75)+($U75*$X75))*($G75-(VLOOKUP($D$7,'Model Assumptions'!$B$50:$O$72,7,FALSE))))/1000)*$E75</f>
        <v>0</v>
      </c>
      <c r="AE75" s="203">
        <f>(((($S75*$V75)+($T75*$W75)+($U75*$X75))*($G75-(VLOOKUP($D$7,'Model Assumptions'!$B$50:$O$72,8,FALSE))))/1000)*$E75</f>
        <v>0</v>
      </c>
      <c r="AF75" s="203">
        <f>(((($S75*$V75)+($T75*$W75)+($U75*$X75))*($G75-(VLOOKUP($D$7,'Model Assumptions'!$B$50:$O$72,9,FALSE))))/1000)*$E75</f>
        <v>0</v>
      </c>
      <c r="AG75" s="203">
        <f>(((($S75*$V75)+($T75*$W75)+($U75*$X75))*($G75-(VLOOKUP($D$7,'Model Assumptions'!$B$50:$O$72,10,FALSE))))/1000)*$E75</f>
        <v>0</v>
      </c>
      <c r="AH75" s="203">
        <f>(((($S75*$V75)+($T75*$W75)+($U75*$X75))*($G75-(VLOOKUP($D$7,'Model Assumptions'!$B$50:$O$72,11,FALSE))))/1000)*$E75</f>
        <v>0</v>
      </c>
      <c r="AI75" s="203">
        <f>(((($S75*$V75)+($T75*$W75)+($U75*$X75))*($G75-(VLOOKUP($D$7,'Model Assumptions'!$B$50:$O$72,12,FALSE))))/1000)*$E75</f>
        <v>0</v>
      </c>
      <c r="AJ75" s="204">
        <f>(((($S75*$V75)+($T75*$W75)+($U75*$X75))*($G75-(VLOOKUP($D$7,'Model Assumptions'!$B$50:$O$72,13,FALSE))))/1000)*$E75</f>
        <v>0</v>
      </c>
      <c r="AK75" s="193">
        <f>Y75*VLOOKUP("Hours",'Model Assumptions'!$B$50:$O$72,2,FALSE)*$H75*$I75/168</f>
        <v>0</v>
      </c>
      <c r="AL75" s="194">
        <f>Z75*VLOOKUP("Hours",'Model Assumptions'!$B$50:$O$72,3,FALSE)*$H75*$I75/168</f>
        <v>0</v>
      </c>
      <c r="AM75" s="194">
        <f>AA75*VLOOKUP("Hours",'Model Assumptions'!$B$50:$O$72,4,FALSE)*$H75*$I75/168</f>
        <v>0</v>
      </c>
      <c r="AN75" s="194">
        <f>AB75*VLOOKUP("Hours",'Model Assumptions'!$B$50:$O$72,5,FALSE)*$H75*$I75/168</f>
        <v>0</v>
      </c>
      <c r="AO75" s="194">
        <f>AC75*VLOOKUP("Hours",'Model Assumptions'!$B$50:$O$72,6,FALSE)*$H75*$I75/168</f>
        <v>0</v>
      </c>
      <c r="AP75" s="194">
        <f>AD75*VLOOKUP("Hours",'Model Assumptions'!$B$50:$O$72,7,FALSE)*$H75*$I75/168</f>
        <v>0</v>
      </c>
      <c r="AQ75" s="194">
        <f>AE75*VLOOKUP("Hours",'Model Assumptions'!$B$50:$O$72,8,FALSE)*$H75*$I75/168</f>
        <v>0</v>
      </c>
      <c r="AR75" s="194">
        <f>AF75*VLOOKUP("Hours",'Model Assumptions'!$B$50:$O$72,9,FALSE)*$H75*$I75/168</f>
        <v>0</v>
      </c>
      <c r="AS75" s="194">
        <f>AG75*VLOOKUP("Hours",'Model Assumptions'!$B$50:$O$72,10,FALSE)*$H75*$I75/168</f>
        <v>0</v>
      </c>
      <c r="AT75" s="194">
        <f>AH75*VLOOKUP("Hours",'Model Assumptions'!$B$50:$O$72,11,FALSE)*$H75*$I75/168</f>
        <v>0</v>
      </c>
      <c r="AU75" s="194">
        <f>AI75*VLOOKUP("Hours",'Model Assumptions'!$B$50:$O$72,12,FALSE)*$H75*$I75/168</f>
        <v>0</v>
      </c>
      <c r="AV75" s="195">
        <f>AJ75*VLOOKUP("Hours",'Model Assumptions'!$B$50:$O$72,13,FALSE)*$H75*$I75/168</f>
        <v>0</v>
      </c>
      <c r="AW75" s="249">
        <f t="shared" si="5"/>
        <v>0</v>
      </c>
      <c r="AX75" s="250">
        <f t="shared" si="21"/>
        <v>0</v>
      </c>
      <c r="AZ75" s="106"/>
      <c r="BA75" s="234">
        <f t="shared" si="7"/>
        <v>0</v>
      </c>
      <c r="BB75" s="234" t="str">
        <f>_xlfn.IFNA(BA75*INDEX('Bees Non-Electric Breakdown'!$E$20:$AQ$20,1,MATCH('Building Breakdown'!AZ75,'Bees Non-Electric Breakdown'!$E$7:$AQ$7,0)),"")</f>
        <v/>
      </c>
    </row>
    <row r="76" spans="2:54" x14ac:dyDescent="0.3">
      <c r="B76" s="119"/>
      <c r="C76" s="119"/>
      <c r="D76" s="120"/>
      <c r="E76" s="121"/>
      <c r="F76" s="121"/>
      <c r="G76" s="121"/>
      <c r="H76" s="121"/>
      <c r="I76" s="121"/>
      <c r="J76" s="121"/>
      <c r="K76" s="122"/>
      <c r="L76" s="121"/>
      <c r="M76" s="123"/>
      <c r="N76" s="127"/>
      <c r="O76" s="128"/>
      <c r="P76" s="122"/>
      <c r="Q76" s="265">
        <f>_xlfn.IFNA(VLOOKUP(D76,'Model Assumptions'!$B$15:$D$17,3,FALSE),0)</f>
        <v>0</v>
      </c>
      <c r="R76" s="273">
        <f t="shared" si="8"/>
        <v>0</v>
      </c>
      <c r="S76" s="274">
        <f t="shared" si="9"/>
        <v>0</v>
      </c>
      <c r="T76" s="274">
        <f>_xlfn.IFNA(((P76*(VLOOKUP($N76,'Model Assumptions'!$B$10:$C$12,2,FALSE)))/2)+$K76,0)</f>
        <v>0</v>
      </c>
      <c r="U76" s="275">
        <f t="shared" si="10"/>
        <v>0</v>
      </c>
      <c r="V76" s="266">
        <f>_xlfn.IFNA(INDEX('Model Assumptions'!$C$30:$F$38,MATCH('Building Breakdown'!$J76,'Model Assumptions'!$B$30:$B$38,0),MATCH('Building Breakdown'!V$22,'Model Assumptions'!$C$29:$F$29,0)),0)</f>
        <v>0</v>
      </c>
      <c r="W76" s="267">
        <f>_xlfn.IFNA(INDEX('Model Assumptions'!$C$30:$F$38,MATCH('Building Breakdown'!$J76,'Model Assumptions'!$B$30:$B$38,0),MATCH('Building Breakdown'!$N76,'Model Assumptions'!$C$29:$F$29,0)),0)</f>
        <v>0</v>
      </c>
      <c r="X76" s="268">
        <f>_xlfn.IFNA(VLOOKUP(O76,'Model Assumptions'!H$30:I$32,2,FALSE),0)</f>
        <v>0</v>
      </c>
      <c r="Y76" s="205">
        <f>(((($S76*$V76)+($T76*$W76)+($U76*$X76))*($G76-(VLOOKUP($D$7,'Model Assumptions'!$B$50:$O$72,2,FALSE))))/1000)*$E76</f>
        <v>0</v>
      </c>
      <c r="Z76" s="206">
        <f>(((($S76*$V76)+($T76*$W76)+($U76*$X76))*($G76-(VLOOKUP($D$7,'Model Assumptions'!$B$50:$O$72,3,FALSE))))/1000)*$E76</f>
        <v>0</v>
      </c>
      <c r="AA76" s="206">
        <f>(((($S76*$V76)+($T76*$W76)+($U76*$X76))*($G76-(VLOOKUP($D$7,'Model Assumptions'!$B$50:$O$72,4,FALSE))))/1000)*$E76</f>
        <v>0</v>
      </c>
      <c r="AB76" s="206">
        <f>(((($S76*$V76)+($T76*$W76)+($U76*$X76))*($G76-(VLOOKUP($D$7,'Model Assumptions'!$B$50:$O$72,5,FALSE))))/1000)*$E76</f>
        <v>0</v>
      </c>
      <c r="AC76" s="206">
        <f>(((($S76*$V76)+($T76*$W76)+($U76*$X76))*($G76-(VLOOKUP($D$7,'Model Assumptions'!$B$50:$O$72,6,FALSE))))/1000)*$E76</f>
        <v>0</v>
      </c>
      <c r="AD76" s="206">
        <f>(((($S76*$V76)+($T76*$W76)+($U76*$X76))*($G76-(VLOOKUP($D$7,'Model Assumptions'!$B$50:$O$72,7,FALSE))))/1000)*$E76</f>
        <v>0</v>
      </c>
      <c r="AE76" s="206">
        <f>(((($S76*$V76)+($T76*$W76)+($U76*$X76))*($G76-(VLOOKUP($D$7,'Model Assumptions'!$B$50:$O$72,8,FALSE))))/1000)*$E76</f>
        <v>0</v>
      </c>
      <c r="AF76" s="206">
        <f>(((($S76*$V76)+($T76*$W76)+($U76*$X76))*($G76-(VLOOKUP($D$7,'Model Assumptions'!$B$50:$O$72,9,FALSE))))/1000)*$E76</f>
        <v>0</v>
      </c>
      <c r="AG76" s="206">
        <f>(((($S76*$V76)+($T76*$W76)+($U76*$X76))*($G76-(VLOOKUP($D$7,'Model Assumptions'!$B$50:$O$72,10,FALSE))))/1000)*$E76</f>
        <v>0</v>
      </c>
      <c r="AH76" s="206">
        <f>(((($S76*$V76)+($T76*$W76)+($U76*$X76))*($G76-(VLOOKUP($D$7,'Model Assumptions'!$B$50:$O$72,11,FALSE))))/1000)*$E76</f>
        <v>0</v>
      </c>
      <c r="AI76" s="206">
        <f>(((($S76*$V76)+($T76*$W76)+($U76*$X76))*($G76-(VLOOKUP($D$7,'Model Assumptions'!$B$50:$O$72,12,FALSE))))/1000)*$E76</f>
        <v>0</v>
      </c>
      <c r="AJ76" s="207">
        <f>(((($S76*$V76)+($T76*$W76)+($U76*$X76))*($G76-(VLOOKUP($D$7,'Model Assumptions'!$B$50:$O$72,13,FALSE))))/1000)*$E76</f>
        <v>0</v>
      </c>
      <c r="AK76" s="196">
        <f>Y76*VLOOKUP("Hours",'Model Assumptions'!$B$50:$O$72,2,FALSE)*$H76*$I76/168</f>
        <v>0</v>
      </c>
      <c r="AL76" s="197">
        <f>Z76*VLOOKUP("Hours",'Model Assumptions'!$B$50:$O$72,3,FALSE)*$H76*$I76/168</f>
        <v>0</v>
      </c>
      <c r="AM76" s="197">
        <f>AA76*VLOOKUP("Hours",'Model Assumptions'!$B$50:$O$72,4,FALSE)*$H76*$I76/168</f>
        <v>0</v>
      </c>
      <c r="AN76" s="197">
        <f>AB76*VLOOKUP("Hours",'Model Assumptions'!$B$50:$O$72,5,FALSE)*$H76*$I76/168</f>
        <v>0</v>
      </c>
      <c r="AO76" s="197">
        <f>AC76*VLOOKUP("Hours",'Model Assumptions'!$B$50:$O$72,6,FALSE)*$H76*$I76/168</f>
        <v>0</v>
      </c>
      <c r="AP76" s="197">
        <f>AD76*VLOOKUP("Hours",'Model Assumptions'!$B$50:$O$72,7,FALSE)*$H76*$I76/168</f>
        <v>0</v>
      </c>
      <c r="AQ76" s="197">
        <f>AE76*VLOOKUP("Hours",'Model Assumptions'!$B$50:$O$72,8,FALSE)*$H76*$I76/168</f>
        <v>0</v>
      </c>
      <c r="AR76" s="197">
        <f>AF76*VLOOKUP("Hours",'Model Assumptions'!$B$50:$O$72,9,FALSE)*$H76*$I76/168</f>
        <v>0</v>
      </c>
      <c r="AS76" s="197">
        <f>AG76*VLOOKUP("Hours",'Model Assumptions'!$B$50:$O$72,10,FALSE)*$H76*$I76/168</f>
        <v>0</v>
      </c>
      <c r="AT76" s="197">
        <f>AH76*VLOOKUP("Hours",'Model Assumptions'!$B$50:$O$72,11,FALSE)*$H76*$I76/168</f>
        <v>0</v>
      </c>
      <c r="AU76" s="197">
        <f>AI76*VLOOKUP("Hours",'Model Assumptions'!$B$50:$O$72,12,FALSE)*$H76*$I76/168</f>
        <v>0</v>
      </c>
      <c r="AV76" s="198">
        <f>AJ76*VLOOKUP("Hours",'Model Assumptions'!$B$50:$O$72,13,FALSE)*$H76*$I76/168</f>
        <v>0</v>
      </c>
      <c r="AW76" s="251">
        <f t="shared" si="5"/>
        <v>0</v>
      </c>
      <c r="AX76" s="252">
        <f t="shared" si="21"/>
        <v>0</v>
      </c>
      <c r="AZ76" s="119"/>
      <c r="BA76" s="239">
        <f t="shared" si="7"/>
        <v>0</v>
      </c>
      <c r="BB76" s="239" t="str">
        <f>_xlfn.IFNA(BA76*INDEX('Bees Non-Electric Breakdown'!$E$20:$AQ$20,1,MATCH('Building Breakdown'!AZ76,'Bees Non-Electric Breakdown'!$E$7:$AQ$7,0)),"")</f>
        <v/>
      </c>
    </row>
    <row r="77" spans="2:54" x14ac:dyDescent="0.3"/>
    <row r="78" spans="2:54" x14ac:dyDescent="0.3"/>
    <row r="79" spans="2:54" x14ac:dyDescent="0.3"/>
    <row r="80" spans="2:54"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sheetData>
  <sheetProtection algorithmName="SHA-512" hashValue="NmiZqlYpFM0LiquF2+cdvuagi/YVicsbEKWQKSrBxvM4aaJGMXJF2WURpkf+Gq4FSz2bg+0a79I1pYvddxsqsw==" saltValue="Li+a2j59QP0Lgzn2Ksty3g==" spinCount="100000" sheet="1" objects="1" scenarios="1"/>
  <mergeCells count="25">
    <mergeCell ref="O21:O22"/>
    <mergeCell ref="P21:P22"/>
    <mergeCell ref="Q21:Q22"/>
    <mergeCell ref="Y21:AJ21"/>
    <mergeCell ref="AK21:AV21"/>
    <mergeCell ref="V21:X21"/>
    <mergeCell ref="R21:U21"/>
    <mergeCell ref="B21:B22"/>
    <mergeCell ref="C21:C22"/>
    <mergeCell ref="D21:D22"/>
    <mergeCell ref="E21:E22"/>
    <mergeCell ref="G21:G22"/>
    <mergeCell ref="M21:M22"/>
    <mergeCell ref="N21:N22"/>
    <mergeCell ref="H21:H22"/>
    <mergeCell ref="I21:I22"/>
    <mergeCell ref="J21:J22"/>
    <mergeCell ref="K21:K22"/>
    <mergeCell ref="L21:L22"/>
    <mergeCell ref="BC17:BC20"/>
    <mergeCell ref="C12:D12"/>
    <mergeCell ref="AW17:AW19"/>
    <mergeCell ref="AX17:AX19"/>
    <mergeCell ref="BB17:BB19"/>
    <mergeCell ref="BB12:BB14"/>
  </mergeCells>
  <phoneticPr fontId="17" type="noConversion"/>
  <dataValidations xWindow="959" yWindow="670" count="4">
    <dataValidation type="whole" allowBlank="1" showInputMessage="1" showErrorMessage="1" errorTitle="Heating hours per day" error="Value must be between 0 and 24" sqref="H24:H76" xr:uid="{69EF3ECF-2D46-4DA4-8043-8FF611EA1F72}">
      <formula1>0</formula1>
      <formula2>24</formula2>
    </dataValidation>
    <dataValidation type="list" allowBlank="1" showInputMessage="1" showErrorMessage="1" sqref="I24:I76" xr:uid="{1A2E37F6-34DC-44BD-9ED5-FB2121B0C35E}">
      <formula1>"1,2,3,4,5,6,7, ,"</formula1>
    </dataValidation>
    <dataValidation allowBlank="1" showInputMessage="1" showErrorMessage="1" sqref="BA24:BA76" xr:uid="{5C699EC2-CD27-48BA-B872-B2F1489EBE78}"/>
    <dataValidation type="list" allowBlank="1" showInputMessage="1" showErrorMessage="1" sqref="D5" xr:uid="{4D28BF07-6B6E-44EF-B5AB-F9DB9531CEA8}">
      <formula1>"Standard,High_Security"</formula1>
    </dataValidation>
  </dataValidations>
  <pageMargins left="0.7" right="0.7" top="0.75" bottom="0.75" header="0.3" footer="0.3"/>
  <pageSetup paperSize="9" orientation="portrait" r:id="rId1"/>
  <headerFooter>
    <oddFooter>&amp;L&amp;1#&amp;"Calibri"&amp;10&amp;K000000 -------------------------------------------------------- This document is marked as confidential</oddFooter>
  </headerFooter>
  <drawing r:id="rId2"/>
  <legacyDrawing r:id="rId3"/>
  <extLst>
    <ext xmlns:x14="http://schemas.microsoft.com/office/spreadsheetml/2009/9/main" uri="{CCE6A557-97BC-4b89-ADB6-D9C93CAAB3DF}">
      <x14:dataValidations xmlns:xm="http://schemas.microsoft.com/office/excel/2006/main" xWindow="959" yWindow="670" count="8">
        <x14:dataValidation type="list" allowBlank="1" showInputMessage="1" showErrorMessage="1" xr:uid="{4C8A420F-02E3-4BEB-8775-D648FA40DB7E}">
          <x14:formula1>
            <xm:f>'Model Assumptions'!$B$51:$B$71</xm:f>
          </x14:formula1>
          <xm:sqref>D7</xm:sqref>
        </x14:dataValidation>
        <x14:dataValidation type="list" allowBlank="1" showInputMessage="1" showErrorMessage="1" xr:uid="{E69C95B7-3D29-4B8D-9DBA-E8A5A2C27235}">
          <x14:formula1>
            <xm:f>'Bees Non-Electric Breakdown'!$E$7:$AQ$7</xm:f>
          </x14:formula1>
          <xm:sqref>AZ24:AZ76</xm:sqref>
        </x14:dataValidation>
        <x14:dataValidation type="list" allowBlank="1" showInputMessage="1" showErrorMessage="1" promptTitle="Select Roof Type" prompt="Note: Pitched roofs are required to have some degree of insulation post-1985, therefore for a pitched roof without insulation option, ensure building type is pre-1985 and select either joist or rafter insulation." xr:uid="{B18D8B41-FE05-44F0-8BFB-3791BB57ECC9}">
          <x14:formula1>
            <xm:f>'Model Assumptions'!$B$10:$B$12</xm:f>
          </x14:formula1>
          <xm:sqref>N24:N76</xm:sqref>
        </x14:dataValidation>
        <x14:dataValidation type="list" allowBlank="1" showInputMessage="1" showErrorMessage="1" xr:uid="{985B4512-81D3-4AAF-B079-3D3451460BFD}">
          <x14:formula1>
            <xm:f>'Model Assumptions'!$B$15:$B$17</xm:f>
          </x14:formula1>
          <xm:sqref>D24:D76</xm:sqref>
        </x14:dataValidation>
        <x14:dataValidation type="list" allowBlank="1" showInputMessage="1" showErrorMessage="1" promptTitle="Select Construction Year" prompt="This affects building regulation U-values" xr:uid="{3341CE54-06DA-4CB0-956F-A178EA915442}">
          <x14:formula1>
            <xm:f>'Model Assumptions'!$B$30:$B$38</xm:f>
          </x14:formula1>
          <xm:sqref>J24:J76</xm:sqref>
        </x14:dataValidation>
        <x14:dataValidation type="list" allowBlank="1" showInputMessage="1" showErrorMessage="1" xr:uid="{8B84FB6F-331D-4F39-A569-BBA5F445DA17}">
          <x14:formula1>
            <xm:f>'Model Assumptions'!$H$30:$H$32</xm:f>
          </x14:formula1>
          <xm:sqref>O24:O76</xm:sqref>
        </x14:dataValidation>
        <x14:dataValidation type="list" allowBlank="1" showInputMessage="1" showErrorMessage="1" xr:uid="{79500BA4-7A9F-4E9A-884A-5BE50BC9FB2F}">
          <x14:formula1>
            <xm:f>'Emission factors'!$C$4:$C$8</xm:f>
          </x14:formula1>
          <xm:sqref>E8:F10</xm:sqref>
        </x14:dataValidation>
        <x14:dataValidation type="list" allowBlank="1" showInputMessage="1" showErrorMessage="1" xr:uid="{AF914F91-1235-45C4-9D6E-BDD2248590E3}">
          <x14:formula1>
            <xm:f>'Emission factors'!$G$4:$G$6</xm:f>
          </x14:formula1>
          <xm:sqref>F24:F76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90E0-645B-4817-A7C1-B6E6F250A1FE}">
  <sheetPr codeName="Sheet7">
    <pageSetUpPr autoPageBreaks="0"/>
  </sheetPr>
  <dimension ref="A1:AZ81"/>
  <sheetViews>
    <sheetView workbookViewId="0"/>
  </sheetViews>
  <sheetFormatPr defaultColWidth="0" defaultRowHeight="14.4" zeroHeight="1" x14ac:dyDescent="0.3"/>
  <cols>
    <col min="1" max="1" width="3.44140625" customWidth="1"/>
    <col min="2" max="2" width="24.44140625" bestFit="1" customWidth="1"/>
    <col min="3" max="5" width="8.88671875" customWidth="1"/>
    <col min="6" max="6" width="13.44140625" customWidth="1"/>
    <col min="7" max="7" width="22.109375" bestFit="1" customWidth="1"/>
    <col min="8" max="10" width="9.5546875" hidden="1" customWidth="1"/>
    <col min="11" max="22" width="7.44140625" hidden="1" customWidth="1"/>
    <col min="23" max="34" width="8.88671875" hidden="1" customWidth="1"/>
    <col min="35" max="35" width="14.5546875" customWidth="1"/>
    <col min="36" max="37" width="14" customWidth="1"/>
    <col min="38" max="40" width="10.88671875" customWidth="1"/>
    <col min="41" max="41" width="12.33203125" customWidth="1"/>
    <col min="42" max="43" width="12.44140625" customWidth="1"/>
    <col min="44" max="44" width="17.6640625" customWidth="1"/>
    <col min="45" max="46" width="13.33203125" customWidth="1"/>
    <col min="47" max="47" width="18.109375" customWidth="1"/>
    <col min="48" max="49" width="12.6640625" customWidth="1"/>
    <col min="50" max="50" width="17.6640625" customWidth="1"/>
    <col min="51" max="51" width="63.6640625" customWidth="1"/>
    <col min="52" max="52" width="9.109375" customWidth="1"/>
    <col min="53" max="16384" width="9.109375" hidden="1"/>
  </cols>
  <sheetData>
    <row r="1" spans="2:51" x14ac:dyDescent="0.3"/>
    <row r="2" spans="2:51" ht="18" x14ac:dyDescent="0.3">
      <c r="B2" s="100" t="s">
        <v>161</v>
      </c>
    </row>
    <row r="3" spans="2:51" ht="27.6" x14ac:dyDescent="0.3">
      <c r="AI3" s="183" t="s">
        <v>162</v>
      </c>
      <c r="AJ3" s="245">
        <f>AK5/'Building Breakdown'!BB15</f>
        <v>0.49801131860118586</v>
      </c>
    </row>
    <row r="4" spans="2:51" x14ac:dyDescent="0.3"/>
    <row r="5" spans="2:51" x14ac:dyDescent="0.3">
      <c r="AI5" s="246">
        <f>SUM(AI8:AI150)</f>
        <v>12459.932742857141</v>
      </c>
      <c r="AJ5" s="246">
        <f>SUM(AJ8:AJ150)</f>
        <v>98656.643314285728</v>
      </c>
      <c r="AK5" s="246">
        <f>SUM(AK8:AK150)</f>
        <v>86196.710571428586</v>
      </c>
      <c r="AO5" s="244">
        <f>SUM(AO8:AO150)</f>
        <v>204744.72784999997</v>
      </c>
    </row>
    <row r="6" spans="2:51" s="24" customFormat="1" ht="43.2" customHeight="1" x14ac:dyDescent="0.3">
      <c r="B6" s="101" t="s">
        <v>101</v>
      </c>
      <c r="C6" s="337" t="s">
        <v>163</v>
      </c>
      <c r="D6" s="338"/>
      <c r="E6" s="339"/>
      <c r="F6" s="101" t="s">
        <v>164</v>
      </c>
      <c r="G6" s="101" t="s">
        <v>165</v>
      </c>
      <c r="H6" s="337" t="s">
        <v>166</v>
      </c>
      <c r="I6" s="338"/>
      <c r="J6" s="338"/>
      <c r="K6" s="337" t="s">
        <v>167</v>
      </c>
      <c r="L6" s="338"/>
      <c r="M6" s="338"/>
      <c r="N6" s="338"/>
      <c r="O6" s="338"/>
      <c r="P6" s="338"/>
      <c r="Q6" s="338"/>
      <c r="R6" s="338"/>
      <c r="S6" s="338"/>
      <c r="T6" s="338"/>
      <c r="U6" s="338"/>
      <c r="V6" s="339"/>
      <c r="W6" s="337" t="s">
        <v>120</v>
      </c>
      <c r="X6" s="338"/>
      <c r="Y6" s="338"/>
      <c r="Z6" s="338"/>
      <c r="AA6" s="338"/>
      <c r="AB6" s="338"/>
      <c r="AC6" s="338"/>
      <c r="AD6" s="338"/>
      <c r="AE6" s="338"/>
      <c r="AF6" s="338"/>
      <c r="AG6" s="338"/>
      <c r="AH6" s="339"/>
      <c r="AI6" s="101" t="s">
        <v>168</v>
      </c>
      <c r="AJ6" s="101" t="s">
        <v>169</v>
      </c>
      <c r="AK6" s="101" t="s">
        <v>170</v>
      </c>
      <c r="AL6" s="337" t="s">
        <v>171</v>
      </c>
      <c r="AM6" s="338"/>
      <c r="AN6" s="339"/>
      <c r="AO6" s="101" t="s">
        <v>172</v>
      </c>
      <c r="AP6" s="293" t="s">
        <v>156</v>
      </c>
      <c r="AQ6" s="294"/>
      <c r="AR6" s="295"/>
      <c r="AS6" s="293" t="s">
        <v>173</v>
      </c>
      <c r="AT6" s="294"/>
      <c r="AU6" s="295"/>
      <c r="AV6" s="293" t="s">
        <v>174</v>
      </c>
      <c r="AW6" s="294"/>
      <c r="AX6" s="295"/>
      <c r="AY6" s="101" t="s">
        <v>175</v>
      </c>
    </row>
    <row r="7" spans="2:51" ht="30" x14ac:dyDescent="0.3">
      <c r="B7" s="316"/>
      <c r="C7" s="316" t="s">
        <v>176</v>
      </c>
      <c r="D7" s="316" t="s">
        <v>128</v>
      </c>
      <c r="E7" s="316" t="s">
        <v>177</v>
      </c>
      <c r="F7" s="316"/>
      <c r="G7" s="316"/>
      <c r="H7" s="171" t="s">
        <v>176</v>
      </c>
      <c r="I7" s="172" t="s">
        <v>128</v>
      </c>
      <c r="J7" s="180" t="s">
        <v>177</v>
      </c>
      <c r="K7" s="171" t="s">
        <v>131</v>
      </c>
      <c r="L7" s="172" t="s">
        <v>132</v>
      </c>
      <c r="M7" s="172" t="s">
        <v>133</v>
      </c>
      <c r="N7" s="172" t="s">
        <v>134</v>
      </c>
      <c r="O7" s="172" t="s">
        <v>135</v>
      </c>
      <c r="P7" s="172" t="s">
        <v>136</v>
      </c>
      <c r="Q7" s="172" t="s">
        <v>137</v>
      </c>
      <c r="R7" s="172" t="s">
        <v>138</v>
      </c>
      <c r="S7" s="172" t="s">
        <v>139</v>
      </c>
      <c r="T7" s="172" t="s">
        <v>140</v>
      </c>
      <c r="U7" s="172" t="s">
        <v>141</v>
      </c>
      <c r="V7" s="173" t="s">
        <v>142</v>
      </c>
      <c r="W7" s="171" t="s">
        <v>131</v>
      </c>
      <c r="X7" s="172" t="s">
        <v>132</v>
      </c>
      <c r="Y7" s="172" t="s">
        <v>133</v>
      </c>
      <c r="Z7" s="172" t="s">
        <v>134</v>
      </c>
      <c r="AA7" s="172" t="s">
        <v>135</v>
      </c>
      <c r="AB7" s="172" t="s">
        <v>136</v>
      </c>
      <c r="AC7" s="172" t="s">
        <v>137</v>
      </c>
      <c r="AD7" s="172" t="s">
        <v>138</v>
      </c>
      <c r="AE7" s="172" t="s">
        <v>139</v>
      </c>
      <c r="AF7" s="172" t="s">
        <v>140</v>
      </c>
      <c r="AG7" s="172" t="s">
        <v>141</v>
      </c>
      <c r="AH7" s="173" t="s">
        <v>142</v>
      </c>
      <c r="AI7" s="316" t="s">
        <v>178</v>
      </c>
      <c r="AJ7" s="316" t="s">
        <v>178</v>
      </c>
      <c r="AK7" s="316" t="s">
        <v>178</v>
      </c>
      <c r="AL7" s="171" t="s">
        <v>176</v>
      </c>
      <c r="AM7" s="172" t="s">
        <v>128</v>
      </c>
      <c r="AN7" s="173" t="s">
        <v>177</v>
      </c>
      <c r="AO7" s="316" t="s">
        <v>153</v>
      </c>
      <c r="AP7" s="316" t="s">
        <v>179</v>
      </c>
      <c r="AQ7" s="289" t="s">
        <v>180</v>
      </c>
      <c r="AR7" s="289" t="s">
        <v>181</v>
      </c>
      <c r="AS7" s="290" t="s">
        <v>179</v>
      </c>
      <c r="AT7" s="289" t="s">
        <v>180</v>
      </c>
      <c r="AU7" s="289" t="s">
        <v>181</v>
      </c>
      <c r="AV7" s="290" t="s">
        <v>179</v>
      </c>
      <c r="AW7" s="289" t="s">
        <v>180</v>
      </c>
      <c r="AX7" s="289" t="s">
        <v>181</v>
      </c>
      <c r="AY7" s="316"/>
    </row>
    <row r="8" spans="2:51" x14ac:dyDescent="0.3">
      <c r="B8" s="225" t="str">
        <f>IF('Building Breakdown'!C24="","",'Building Breakdown'!C24)</f>
        <v>Example 1</v>
      </c>
      <c r="C8" s="104" t="s">
        <v>182</v>
      </c>
      <c r="D8" s="104" t="s">
        <v>182</v>
      </c>
      <c r="E8" s="292" t="s">
        <v>182</v>
      </c>
      <c r="F8" s="291" t="s">
        <v>183</v>
      </c>
      <c r="G8" s="291" t="s">
        <v>184</v>
      </c>
      <c r="H8" s="174">
        <f>MIN(IF(EXACT('Fabric Changes'!C8,"Yes"),'Model Assumptions'!$B$21,'Building Breakdown'!V24),'Building Breakdown'!V24)</f>
        <v>0.3</v>
      </c>
      <c r="I8" s="175">
        <f>MIN(IF(EXACT('Fabric Changes'!D8,"Yes"),'Model Assumptions'!$D$21,'Building Breakdown'!W24),'Building Breakdown'!W24)</f>
        <v>0.25</v>
      </c>
      <c r="J8" s="181">
        <f>MIN(IF(EXACT('Fabric Changes'!E8,"Yes"),'Model Assumptions'!$E$21,'Building Breakdown'!X24),'Building Breakdown'!X24)</f>
        <v>1.1000000000000001</v>
      </c>
      <c r="K8" s="174">
        <f>(((('Building Breakdown'!$S24*$H8)+('Building Breakdown'!$T24*$I8)+('Building Breakdown'!$U24*$J8))*('Building Breakdown'!$G24-(VLOOKUP('Building Breakdown'!$D$7,'Model Assumptions'!$B$50:$O$72,2,FALSE))))/1000)*'Building Breakdown'!$E24</f>
        <v>6.6524449999999984</v>
      </c>
      <c r="L8" s="175">
        <f>(((('Building Breakdown'!$S24*$H8)+('Building Breakdown'!$T24*$I8)+('Building Breakdown'!$U24*$J8))*('Building Breakdown'!$G24-(VLOOKUP('Building Breakdown'!$D$7,'Model Assumptions'!$B$50:$O$72,3,FALSE))))/1000)*'Building Breakdown'!$E24</f>
        <v>6.4532699999999998</v>
      </c>
      <c r="M8" s="175">
        <f>(((('Building Breakdown'!$S24*$H8)+('Building Breakdown'!$T24*$I8)+('Building Breakdown'!$U24*$J8))*('Building Breakdown'!$G24-(VLOOKUP('Building Breakdown'!$D$7,'Model Assumptions'!$B$50:$O$72,4,FALSE))))/1000)*'Building Breakdown'!$E24</f>
        <v>5.7362399999999996</v>
      </c>
      <c r="N8" s="175">
        <f>(((('Building Breakdown'!$S24*$H8)+('Building Breakdown'!$T24*$I8)+('Building Breakdown'!$U24*$J8))*('Building Breakdown'!$G24-(VLOOKUP('Building Breakdown'!$D$7,'Model Assumptions'!$B$50:$O$72,5,FALSE))))/1000)*'Building Breakdown'!$E24</f>
        <v>4.7801999999999998</v>
      </c>
      <c r="O8" s="175">
        <f>(((('Building Breakdown'!$S24*$H8)+('Building Breakdown'!$T24*$I8)+('Building Breakdown'!$U24*$J8))*('Building Breakdown'!$G24-(VLOOKUP('Building Breakdown'!$D$7,'Model Assumptions'!$B$50:$O$72,6,FALSE))))/1000)*'Building Breakdown'!$E24</f>
        <v>3.6648199999999993</v>
      </c>
      <c r="P8" s="175">
        <f>(((('Building Breakdown'!$S24*$H8)+('Building Breakdown'!$T24*$I8)+('Building Breakdown'!$U24*$J8))*('Building Breakdown'!$G24-(VLOOKUP('Building Breakdown'!$D$7,'Model Assumptions'!$B$50:$O$72,7,FALSE))))/1000)*'Building Breakdown'!$E24</f>
        <v>2.4697699999999996</v>
      </c>
      <c r="Q8" s="175">
        <f>(((('Building Breakdown'!$S24*$H8)+('Building Breakdown'!$T24*$I8)+('Building Breakdown'!$U24*$J8))*('Building Breakdown'!$G24-(VLOOKUP('Building Breakdown'!$D$7,'Model Assumptions'!$B$50:$O$72,8,FALSE))))/1000)*'Building Breakdown'!$E24</f>
        <v>1.7527399999999993</v>
      </c>
      <c r="R8" s="175">
        <f>(((('Building Breakdown'!$S24*$H8)+('Building Breakdown'!$T24*$I8)+('Building Breakdown'!$U24*$J8))*('Building Breakdown'!$G24-(VLOOKUP('Building Breakdown'!$D$7,'Model Assumptions'!$B$50:$O$72,9,FALSE))))/1000)*'Building Breakdown'!$E24</f>
        <v>1.7925749999999998</v>
      </c>
      <c r="S8" s="175">
        <f>(((('Building Breakdown'!$S24*$H8)+('Building Breakdown'!$T24*$I8)+('Building Breakdown'!$U24*$J8))*('Building Breakdown'!$G24-(VLOOKUP('Building Breakdown'!$D$7,'Model Assumptions'!$B$50:$O$72,10,FALSE))))/1000)*'Building Breakdown'!$E24</f>
        <v>2.7884499999999997</v>
      </c>
      <c r="T8" s="175">
        <f>(((('Building Breakdown'!$S24*$H8)+('Building Breakdown'!$T24*$I8)+('Building Breakdown'!$U24*$J8))*('Building Breakdown'!$G24-(VLOOKUP('Building Breakdown'!$D$7,'Model Assumptions'!$B$50:$O$72,11,FALSE))))/1000)*'Building Breakdown'!$E24</f>
        <v>4.1826749999999997</v>
      </c>
      <c r="U8" s="175">
        <f>(((('Building Breakdown'!$S24*$H8)+('Building Breakdown'!$T24*$I8)+('Building Breakdown'!$U24*$J8))*('Building Breakdown'!$G24-(VLOOKUP('Building Breakdown'!$D$7,'Model Assumptions'!$B$50:$O$72,12,FALSE))))/1000)*'Building Breakdown'!$E24</f>
        <v>5.5370649999999992</v>
      </c>
      <c r="V8" s="176">
        <f>(((('Building Breakdown'!$S24*$H8)+('Building Breakdown'!$T24*$I8)+('Building Breakdown'!$U24*$J8))*('Building Breakdown'!$G24-(VLOOKUP('Building Breakdown'!$D$7,'Model Assumptions'!$B$50:$O$72,13,FALSE))))/1000)*'Building Breakdown'!$E24</f>
        <v>6.6922799999999993</v>
      </c>
      <c r="W8" s="174">
        <f>K8*VLOOKUP("Hours",'Model Assumptions'!$B$50:$O$72,2,FALSE)*'Building Breakdown'!$H24*'Building Breakdown'!$I24/168</f>
        <v>2121.1796057142851</v>
      </c>
      <c r="X8" s="175">
        <f>L8*VLOOKUP("Hours",'Model Assumptions'!$B$50:$O$72,3,FALSE)*'Building Breakdown'!$H24*'Building Breakdown'!$I24/168</f>
        <v>1858.5417599999996</v>
      </c>
      <c r="Y8" s="175">
        <f>M8*VLOOKUP("Hours",'Model Assumptions'!$B$50:$O$72,4,FALSE)*'Building Breakdown'!$H24*'Building Breakdown'!$I24/168</f>
        <v>1829.0410971428573</v>
      </c>
      <c r="Z8" s="175">
        <f>N8*VLOOKUP("Hours",'Model Assumptions'!$B$50:$O$72,5,FALSE)*'Building Breakdown'!$H24*'Building Breakdown'!$I24/168</f>
        <v>1475.0331428571428</v>
      </c>
      <c r="AA8" s="175">
        <f>O8*VLOOKUP("Hours",'Model Assumptions'!$B$50:$O$72,6,FALSE)*'Building Breakdown'!$H24*'Building Breakdown'!$I24/168</f>
        <v>0</v>
      </c>
      <c r="AB8" s="175">
        <f>P8*VLOOKUP("Hours",'Model Assumptions'!$B$50:$O$72,7,FALSE)*'Building Breakdown'!$H24*'Building Breakdown'!$I24/168</f>
        <v>0</v>
      </c>
      <c r="AC8" s="175">
        <f>Q8*VLOOKUP("Hours",'Model Assumptions'!$B$50:$O$72,8,FALSE)*'Building Breakdown'!$H24*'Building Breakdown'!$I24/168</f>
        <v>0</v>
      </c>
      <c r="AD8" s="175">
        <f>R8*VLOOKUP("Hours",'Model Assumptions'!$B$50:$O$72,9,FALSE)*'Building Breakdown'!$H24*'Building Breakdown'!$I24/168</f>
        <v>0</v>
      </c>
      <c r="AE8" s="175">
        <f>S8*VLOOKUP("Hours",'Model Assumptions'!$B$50:$O$72,10,FALSE)*'Building Breakdown'!$H24*'Building Breakdown'!$I24/168</f>
        <v>0</v>
      </c>
      <c r="AF8" s="175">
        <f>T8*VLOOKUP("Hours",'Model Assumptions'!$B$50:$O$72,11,FALSE)*'Building Breakdown'!$H24*'Building Breakdown'!$I24/168</f>
        <v>1333.6757999999998</v>
      </c>
      <c r="AG8" s="175">
        <f>U8*VLOOKUP("Hours",'Model Assumptions'!$B$50:$O$72,12,FALSE)*'Building Breakdown'!$H24*'Building Breakdown'!$I24/168</f>
        <v>1708.5800571428567</v>
      </c>
      <c r="AH8" s="176">
        <f>V8*VLOOKUP("Hours",'Model Assumptions'!$B$50:$O$72,13,FALSE)*'Building Breakdown'!$H24*'Building Breakdown'!$I24/168</f>
        <v>2133.8812800000001</v>
      </c>
      <c r="AI8" s="228">
        <f>SUM(W8:AH8)</f>
        <v>12459.932742857141</v>
      </c>
      <c r="AJ8" s="229">
        <f>'Building Breakdown'!AW24</f>
        <v>98656.643314285728</v>
      </c>
      <c r="AK8" s="228">
        <f>AJ8-AI8</f>
        <v>86196.710571428586</v>
      </c>
      <c r="AL8" s="230">
        <f>IF(EXACT('Fabric Changes'!C8,"Yes"),IF('Building Breakdown'!$D$5="High_Security",(HLOOKUP(G8,'Model Assumptions'!$C$43:$E$45,3,FALSE)*'Building Breakdown'!S24),(HLOOKUP(G8,'Model Assumptions'!$C$43:$E$45,2,FALSE)*'Building Breakdown'!S24)),0)</f>
        <v>2972.8607999999999</v>
      </c>
      <c r="AM8" s="231">
        <f>IF(EXACT('Fabric Changes'!D8,"Yes"),IF('Building Breakdown'!$D$5="High_Security",('Model Assumptions'!$G$45*'Building Breakdown'!T24),('Model Assumptions'!$G$44*'Building Breakdown'!T24)),0)</f>
        <v>173582.77624999997</v>
      </c>
      <c r="AN8" s="232">
        <f>IF(EXACT('Fabric Changes'!E8,"Yes"),IF('Building Breakdown'!$D$5="High_Security",(HLOOKUP(F8,'Model Assumptions'!C$43:K$45,3,FALSE)*'Building Breakdown'!U24),(HLOOKUP(F8,'Model Assumptions'!C$43:K$45,2,FALSE)*'Building Breakdown'!U24)),0)</f>
        <v>28189.090799999998</v>
      </c>
      <c r="AO8" s="233">
        <f t="shared" ref="AO8" si="0">SUM(AL8:AN8)</f>
        <v>204744.72784999997</v>
      </c>
      <c r="AP8" s="233">
        <f>IF('Building Breakdown'!$F24='Fabric Changes'!$AP$6,$AK8*'Building Breakdown'!$D$8,0)</f>
        <v>2585.9013171428574</v>
      </c>
      <c r="AQ8" s="288">
        <f t="shared" ref="AQ8:AQ60" si="1">IFERROR($AO8/AP8,0)</f>
        <v>79.177316818965409</v>
      </c>
      <c r="AR8" s="287">
        <f>IF($AP8=0,0,$AK8*VLOOKUP('Building Breakdown'!$E$8,'Emission factors'!$C$4:$D$8,2,FALSE))</f>
        <v>15734.347547708572</v>
      </c>
      <c r="AS8" s="233">
        <f>IF('Building Breakdown'!$F24='Fabric Changes'!$AS$6,$AK8*'Building Breakdown'!$D$9,0)</f>
        <v>0</v>
      </c>
      <c r="AT8" s="288">
        <f>IFERROR($AO8/AS8,0)</f>
        <v>0</v>
      </c>
      <c r="AU8" s="287">
        <f>IF($AS8=0,0,$AK8*VLOOKUP('Building Breakdown'!$E$9,'Emission factors'!$C$4:$D$8,2,FALSE))</f>
        <v>0</v>
      </c>
      <c r="AV8" s="233">
        <f>IF('Building Breakdown'!$F24='Fabric Changes'!$AV$6,$AK8*'Building Breakdown'!$D$10,0)</f>
        <v>0</v>
      </c>
      <c r="AW8" s="288">
        <f>IFERROR($AO8/AV8,0)</f>
        <v>0</v>
      </c>
      <c r="AX8" s="287">
        <f>IF($AV8=0,0,$AK8*VLOOKUP('Building Breakdown'!$E$10,'Emission factors'!$C$4:$D$8,2,FALSE))</f>
        <v>0</v>
      </c>
      <c r="AY8" s="168"/>
    </row>
    <row r="9" spans="2:51" x14ac:dyDescent="0.3">
      <c r="B9" s="226" t="str">
        <f>IF('Building Breakdown'!C25="","",'Building Breakdown'!C25)</f>
        <v/>
      </c>
      <c r="C9" s="106"/>
      <c r="D9" s="106"/>
      <c r="E9" s="106"/>
      <c r="F9" s="106"/>
      <c r="G9" s="106"/>
      <c r="H9" s="177">
        <f>MIN(IF(EXACT('Fabric Changes'!C9,"Yes"),'Model Assumptions'!$B$21,'Building Breakdown'!V25),'Building Breakdown'!V25)</f>
        <v>0</v>
      </c>
      <c r="I9" s="178">
        <f>MIN(IF(EXACT('Fabric Changes'!D9,"Yes"),'Model Assumptions'!$D$21,'Building Breakdown'!W25),'Building Breakdown'!W25)</f>
        <v>0</v>
      </c>
      <c r="J9" s="182">
        <f>MIN(IF(EXACT('Fabric Changes'!E9,"Yes"),'Model Assumptions'!$E$21,'Building Breakdown'!X25),'Building Breakdown'!X25)</f>
        <v>0</v>
      </c>
      <c r="K9" s="177">
        <f>(((('Building Breakdown'!$S25*$H9)+('Building Breakdown'!$T25*$I9)+('Building Breakdown'!$U25*$J9))*('Building Breakdown'!$G25-(VLOOKUP('Building Breakdown'!$D$7,'Model Assumptions'!$B$50:$O$72,2,FALSE))))/1000)*'Building Breakdown'!$E25</f>
        <v>0</v>
      </c>
      <c r="L9" s="178">
        <f>(((('Building Breakdown'!$S25*$H9)+('Building Breakdown'!$T25*$I9)+('Building Breakdown'!$U25*$J9))*('Building Breakdown'!$G25-(VLOOKUP('Building Breakdown'!$D$7,'Model Assumptions'!$B$50:$O$72,3,FALSE))))/1000)*'Building Breakdown'!$E25</f>
        <v>0</v>
      </c>
      <c r="M9" s="178">
        <f>(((('Building Breakdown'!$S25*$H9)+('Building Breakdown'!$T25*$I9)+('Building Breakdown'!$U25*$J9))*('Building Breakdown'!$G25-(VLOOKUP('Building Breakdown'!$D$7,'Model Assumptions'!$B$50:$O$72,4,FALSE))))/1000)*'Building Breakdown'!$E25</f>
        <v>0</v>
      </c>
      <c r="N9" s="178">
        <f>(((('Building Breakdown'!$S25*$H9)+('Building Breakdown'!$T25*$I9)+('Building Breakdown'!$U25*$J9))*('Building Breakdown'!$G25-(VLOOKUP('Building Breakdown'!$D$7,'Model Assumptions'!$B$50:$O$72,5,FALSE))))/1000)*'Building Breakdown'!$E25</f>
        <v>0</v>
      </c>
      <c r="O9" s="178">
        <f>(((('Building Breakdown'!$S25*$H9)+('Building Breakdown'!$T25*$I9)+('Building Breakdown'!$U25*$J9))*('Building Breakdown'!$G25-(VLOOKUP('Building Breakdown'!$D$7,'Model Assumptions'!$B$50:$O$72,6,FALSE))))/1000)*'Building Breakdown'!$E25</f>
        <v>0</v>
      </c>
      <c r="P9" s="178">
        <f>(((('Building Breakdown'!$S25*$H9)+('Building Breakdown'!$T25*$I9)+('Building Breakdown'!$U25*$J9))*('Building Breakdown'!$G25-(VLOOKUP('Building Breakdown'!$D$7,'Model Assumptions'!$B$50:$O$72,7,FALSE))))/1000)*'Building Breakdown'!$E25</f>
        <v>0</v>
      </c>
      <c r="Q9" s="178">
        <f>(((('Building Breakdown'!$S25*$H9)+('Building Breakdown'!$T25*$I9)+('Building Breakdown'!$U25*$J9))*('Building Breakdown'!$G25-(VLOOKUP('Building Breakdown'!$D$7,'Model Assumptions'!$B$50:$O$72,8,FALSE))))/1000)*'Building Breakdown'!$E25</f>
        <v>0</v>
      </c>
      <c r="R9" s="178">
        <f>(((('Building Breakdown'!$S25*$H9)+('Building Breakdown'!$T25*$I9)+('Building Breakdown'!$U25*$J9))*('Building Breakdown'!$G25-(VLOOKUP('Building Breakdown'!$D$7,'Model Assumptions'!$B$50:$O$72,9,FALSE))))/1000)*'Building Breakdown'!$E25</f>
        <v>0</v>
      </c>
      <c r="S9" s="178">
        <f>(((('Building Breakdown'!$S25*$H9)+('Building Breakdown'!$T25*$I9)+('Building Breakdown'!$U25*$J9))*('Building Breakdown'!$G25-(VLOOKUP('Building Breakdown'!$D$7,'Model Assumptions'!$B$50:$O$72,10,FALSE))))/1000)*'Building Breakdown'!$E25</f>
        <v>0</v>
      </c>
      <c r="T9" s="178">
        <f>(((('Building Breakdown'!$S25*$H9)+('Building Breakdown'!$T25*$I9)+('Building Breakdown'!$U25*$J9))*('Building Breakdown'!$G25-(VLOOKUP('Building Breakdown'!$D$7,'Model Assumptions'!$B$50:$O$72,11,FALSE))))/1000)*'Building Breakdown'!$E25</f>
        <v>0</v>
      </c>
      <c r="U9" s="178">
        <f>(((('Building Breakdown'!$S25*$H9)+('Building Breakdown'!$T25*$I9)+('Building Breakdown'!$U25*$J9))*('Building Breakdown'!$G25-(VLOOKUP('Building Breakdown'!$D$7,'Model Assumptions'!$B$50:$O$72,12,FALSE))))/1000)*'Building Breakdown'!$E25</f>
        <v>0</v>
      </c>
      <c r="V9" s="179">
        <f>(((('Building Breakdown'!$S25*$H9)+('Building Breakdown'!$T25*$I9)+('Building Breakdown'!$U25*$J9))*('Building Breakdown'!$G25-(VLOOKUP('Building Breakdown'!$D$7,'Model Assumptions'!$B$50:$O$72,13,FALSE))))/1000)*'Building Breakdown'!$E25</f>
        <v>0</v>
      </c>
      <c r="W9" s="177">
        <f>K9*VLOOKUP("Hours",'Model Assumptions'!$B$50:$O$72,2,FALSE)*'Building Breakdown'!$H25*'Building Breakdown'!$I25/168</f>
        <v>0</v>
      </c>
      <c r="X9" s="178">
        <f>L9*VLOOKUP("Hours",'Model Assumptions'!$B$50:$O$72,3,FALSE)*'Building Breakdown'!$H25*'Building Breakdown'!$I25/168</f>
        <v>0</v>
      </c>
      <c r="Y9" s="178">
        <f>M9*VLOOKUP("Hours",'Model Assumptions'!$B$50:$O$72,4,FALSE)*'Building Breakdown'!$H25*'Building Breakdown'!$I25/168</f>
        <v>0</v>
      </c>
      <c r="Z9" s="178">
        <f>N9*VLOOKUP("Hours",'Model Assumptions'!$B$50:$O$72,5,FALSE)*'Building Breakdown'!$H25*'Building Breakdown'!$I25/168</f>
        <v>0</v>
      </c>
      <c r="AA9" s="178">
        <f>O9*VLOOKUP("Hours",'Model Assumptions'!$B$50:$O$72,6,FALSE)*'Building Breakdown'!$H25*'Building Breakdown'!$I25/168</f>
        <v>0</v>
      </c>
      <c r="AB9" s="178">
        <f>P9*VLOOKUP("Hours",'Model Assumptions'!$B$50:$O$72,7,FALSE)*'Building Breakdown'!$H25*'Building Breakdown'!$I25/168</f>
        <v>0</v>
      </c>
      <c r="AC9" s="178">
        <f>Q9*VLOOKUP("Hours",'Model Assumptions'!$B$50:$O$72,8,FALSE)*'Building Breakdown'!$H25*'Building Breakdown'!$I25/168</f>
        <v>0</v>
      </c>
      <c r="AD9" s="178">
        <f>R9*VLOOKUP("Hours",'Model Assumptions'!$B$50:$O$72,9,FALSE)*'Building Breakdown'!$H25*'Building Breakdown'!$I25/168</f>
        <v>0</v>
      </c>
      <c r="AE9" s="178">
        <f>S9*VLOOKUP("Hours",'Model Assumptions'!$B$50:$O$72,10,FALSE)*'Building Breakdown'!$H25*'Building Breakdown'!$I25/168</f>
        <v>0</v>
      </c>
      <c r="AF9" s="178">
        <f>T9*VLOOKUP("Hours",'Model Assumptions'!$B$50:$O$72,11,FALSE)*'Building Breakdown'!$H25*'Building Breakdown'!$I25/168</f>
        <v>0</v>
      </c>
      <c r="AG9" s="178">
        <f>U9*VLOOKUP("Hours",'Model Assumptions'!$B$50:$O$72,12,FALSE)*'Building Breakdown'!$H25*'Building Breakdown'!$I25/168</f>
        <v>0</v>
      </c>
      <c r="AH9" s="179">
        <f>V9*VLOOKUP("Hours",'Model Assumptions'!$B$50:$O$72,13,FALSE)*'Building Breakdown'!$H25*'Building Breakdown'!$I25/168</f>
        <v>0</v>
      </c>
      <c r="AI9" s="234">
        <f t="shared" ref="AI9:AI60" si="2">SUM(W9:AH9)</f>
        <v>0</v>
      </c>
      <c r="AJ9" s="234">
        <f>'Building Breakdown'!AW25</f>
        <v>0</v>
      </c>
      <c r="AK9" s="234">
        <f>AJ9-AI9</f>
        <v>0</v>
      </c>
      <c r="AL9" s="235">
        <f>IF(EXACT('Fabric Changes'!C9,"Yes"),IF('Building Breakdown'!$D$5="High_Security",(HLOOKUP(G9,'Model Assumptions'!$C$43:$E$45,3,FALSE)*'Building Breakdown'!S25),(HLOOKUP(G9,'Model Assumptions'!$C$43:$E$45,2,FALSE)*'Building Breakdown'!S25)),0)</f>
        <v>0</v>
      </c>
      <c r="AM9" s="236">
        <f>IF(EXACT('Fabric Changes'!D9,"Yes"),IF('Building Breakdown'!$D$5="High_Security",('Model Assumptions'!$G$45*'Building Breakdown'!T25),('Model Assumptions'!$G$44*'Building Breakdown'!T25)),0)</f>
        <v>0</v>
      </c>
      <c r="AN9" s="237">
        <f>IF(EXACT('Fabric Changes'!E9,"Yes"),IF('Building Breakdown'!$D$5="High_Security",(HLOOKUP(F9,'Model Assumptions'!C$43:K$45,3,FALSE)*'Building Breakdown'!U25),(HLOOKUP(F9,'Model Assumptions'!C$43:K$45,2,FALSE)*'Building Breakdown'!U25)),0)</f>
        <v>0</v>
      </c>
      <c r="AO9" s="238">
        <f t="shared" ref="AO9:AO60" si="3">SUM(AL9:AN9)</f>
        <v>0</v>
      </c>
      <c r="AP9" s="238">
        <f>IF('Building Breakdown'!$F25='Fabric Changes'!$AP$6,$AK9*'Building Breakdown'!$D$8,0)</f>
        <v>0</v>
      </c>
      <c r="AQ9" s="285">
        <f t="shared" si="1"/>
        <v>0</v>
      </c>
      <c r="AR9" s="287">
        <f>IF($AP9=0,0,$AK9*VLOOKUP('Building Breakdown'!$E$8,'Emission factors'!$C$4:$D$8,2,FALSE))</f>
        <v>0</v>
      </c>
      <c r="AS9" s="238">
        <f>IF('Building Breakdown'!$F25='Fabric Changes'!$AS$6,$AK9*'Building Breakdown'!$D$9,0)</f>
        <v>0</v>
      </c>
      <c r="AT9" s="285">
        <f t="shared" ref="AT9:AT60" si="4">IFERROR($AO9/AS9,0)</f>
        <v>0</v>
      </c>
      <c r="AU9" s="287">
        <f>IF($AS9=0,0,$AK9*VLOOKUP('Building Breakdown'!$E$9,'Emission factors'!$C$4:$D$8,2,FALSE))</f>
        <v>0</v>
      </c>
      <c r="AV9" s="238">
        <f>IF('Building Breakdown'!$F25='Fabric Changes'!$AV$6,$AK9*'Building Breakdown'!$D$10,0)</f>
        <v>0</v>
      </c>
      <c r="AW9" s="285">
        <f t="shared" ref="AW9:AW60" si="5">IFERROR($AO9/AV9,0)</f>
        <v>0</v>
      </c>
      <c r="AX9" s="287">
        <f>IF($AV9=0,0,$AK9*VLOOKUP('Building Breakdown'!$E$10,'Emission factors'!$C$4:$D$8,2,FALSE))</f>
        <v>0</v>
      </c>
      <c r="AY9" s="169"/>
    </row>
    <row r="10" spans="2:51" x14ac:dyDescent="0.3">
      <c r="B10" s="226" t="str">
        <f>IF('Building Breakdown'!C26="","",'Building Breakdown'!C26)</f>
        <v/>
      </c>
      <c r="C10" s="106"/>
      <c r="D10" s="106"/>
      <c r="E10" s="106"/>
      <c r="F10" s="106"/>
      <c r="G10" s="106"/>
      <c r="H10" s="177">
        <f>MIN(IF(EXACT('Fabric Changes'!C10,"Yes"),'Model Assumptions'!$B$21,'Building Breakdown'!V26),'Building Breakdown'!V26)</f>
        <v>0</v>
      </c>
      <c r="I10" s="178">
        <f>MIN(IF(EXACT('Fabric Changes'!D10,"Yes"),'Model Assumptions'!$D$21,'Building Breakdown'!W26),'Building Breakdown'!W26)</f>
        <v>0</v>
      </c>
      <c r="J10" s="182">
        <f>MIN(IF(EXACT('Fabric Changes'!E10,"Yes"),'Model Assumptions'!$E$21,'Building Breakdown'!X26),'Building Breakdown'!X26)</f>
        <v>0</v>
      </c>
      <c r="K10" s="177">
        <f>(((('Building Breakdown'!$S26*$H10)+('Building Breakdown'!$T26*$I10)+('Building Breakdown'!$U26*$J10))*('Building Breakdown'!$G26-(VLOOKUP('Building Breakdown'!$D$7,'Model Assumptions'!$B$50:$O$72,2,FALSE))))/1000)*'Building Breakdown'!$E26</f>
        <v>0</v>
      </c>
      <c r="L10" s="178">
        <f>(((('Building Breakdown'!$S26*$H10)+('Building Breakdown'!$T26*$I10)+('Building Breakdown'!$U26*$J10))*('Building Breakdown'!$G26-(VLOOKUP('Building Breakdown'!$D$7,'Model Assumptions'!$B$50:$O$72,3,FALSE))))/1000)*'Building Breakdown'!$E26</f>
        <v>0</v>
      </c>
      <c r="M10" s="178">
        <f>(((('Building Breakdown'!$S26*$H10)+('Building Breakdown'!$T26*$I10)+('Building Breakdown'!$U26*$J10))*('Building Breakdown'!$G26-(VLOOKUP('Building Breakdown'!$D$7,'Model Assumptions'!$B$50:$O$72,4,FALSE))))/1000)*'Building Breakdown'!$E26</f>
        <v>0</v>
      </c>
      <c r="N10" s="178">
        <f>(((('Building Breakdown'!$S26*$H10)+('Building Breakdown'!$T26*$I10)+('Building Breakdown'!$U26*$J10))*('Building Breakdown'!$G26-(VLOOKUP('Building Breakdown'!$D$7,'Model Assumptions'!$B$50:$O$72,5,FALSE))))/1000)*'Building Breakdown'!$E26</f>
        <v>0</v>
      </c>
      <c r="O10" s="178">
        <f>(((('Building Breakdown'!$S26*$H10)+('Building Breakdown'!$T26*$I10)+('Building Breakdown'!$U26*$J10))*('Building Breakdown'!$G26-(VLOOKUP('Building Breakdown'!$D$7,'Model Assumptions'!$B$50:$O$72,6,FALSE))))/1000)*'Building Breakdown'!$E26</f>
        <v>0</v>
      </c>
      <c r="P10" s="178">
        <f>(((('Building Breakdown'!$S26*$H10)+('Building Breakdown'!$T26*$I10)+('Building Breakdown'!$U26*$J10))*('Building Breakdown'!$G26-(VLOOKUP('Building Breakdown'!$D$7,'Model Assumptions'!$B$50:$O$72,7,FALSE))))/1000)*'Building Breakdown'!$E26</f>
        <v>0</v>
      </c>
      <c r="Q10" s="178">
        <f>(((('Building Breakdown'!$S26*$H10)+('Building Breakdown'!$T26*$I10)+('Building Breakdown'!$U26*$J10))*('Building Breakdown'!$G26-(VLOOKUP('Building Breakdown'!$D$7,'Model Assumptions'!$B$50:$O$72,8,FALSE))))/1000)*'Building Breakdown'!$E26</f>
        <v>0</v>
      </c>
      <c r="R10" s="178">
        <f>(((('Building Breakdown'!$S26*$H10)+('Building Breakdown'!$T26*$I10)+('Building Breakdown'!$U26*$J10))*('Building Breakdown'!$G26-(VLOOKUP('Building Breakdown'!$D$7,'Model Assumptions'!$B$50:$O$72,9,FALSE))))/1000)*'Building Breakdown'!$E26</f>
        <v>0</v>
      </c>
      <c r="S10" s="178">
        <f>(((('Building Breakdown'!$S26*$H10)+('Building Breakdown'!$T26*$I10)+('Building Breakdown'!$U26*$J10))*('Building Breakdown'!$G26-(VLOOKUP('Building Breakdown'!$D$7,'Model Assumptions'!$B$50:$O$72,10,FALSE))))/1000)*'Building Breakdown'!$E26</f>
        <v>0</v>
      </c>
      <c r="T10" s="178">
        <f>(((('Building Breakdown'!$S26*$H10)+('Building Breakdown'!$T26*$I10)+('Building Breakdown'!$U26*$J10))*('Building Breakdown'!$G26-(VLOOKUP('Building Breakdown'!$D$7,'Model Assumptions'!$B$50:$O$72,11,FALSE))))/1000)*'Building Breakdown'!$E26</f>
        <v>0</v>
      </c>
      <c r="U10" s="178">
        <f>(((('Building Breakdown'!$S26*$H10)+('Building Breakdown'!$T26*$I10)+('Building Breakdown'!$U26*$J10))*('Building Breakdown'!$G26-(VLOOKUP('Building Breakdown'!$D$7,'Model Assumptions'!$B$50:$O$72,12,FALSE))))/1000)*'Building Breakdown'!$E26</f>
        <v>0</v>
      </c>
      <c r="V10" s="179">
        <f>(((('Building Breakdown'!$S26*$H10)+('Building Breakdown'!$T26*$I10)+('Building Breakdown'!$U26*$J10))*('Building Breakdown'!$G26-(VLOOKUP('Building Breakdown'!$D$7,'Model Assumptions'!$B$50:$O$72,13,FALSE))))/1000)*'Building Breakdown'!$E26</f>
        <v>0</v>
      </c>
      <c r="W10" s="177">
        <f>K10*VLOOKUP("Hours",'Model Assumptions'!$B$50:$O$72,2,FALSE)*'Building Breakdown'!$H26*'Building Breakdown'!$I26/168</f>
        <v>0</v>
      </c>
      <c r="X10" s="178">
        <f>L10*VLOOKUP("Hours",'Model Assumptions'!$B$50:$O$72,3,FALSE)*'Building Breakdown'!$H26*'Building Breakdown'!$I26/168</f>
        <v>0</v>
      </c>
      <c r="Y10" s="178">
        <f>M10*VLOOKUP("Hours",'Model Assumptions'!$B$50:$O$72,4,FALSE)*'Building Breakdown'!$H26*'Building Breakdown'!$I26/168</f>
        <v>0</v>
      </c>
      <c r="Z10" s="178">
        <f>N10*VLOOKUP("Hours",'Model Assumptions'!$B$50:$O$72,5,FALSE)*'Building Breakdown'!$H26*'Building Breakdown'!$I26/168</f>
        <v>0</v>
      </c>
      <c r="AA10" s="178">
        <f>O10*VLOOKUP("Hours",'Model Assumptions'!$B$50:$O$72,6,FALSE)*'Building Breakdown'!$H26*'Building Breakdown'!$I26/168</f>
        <v>0</v>
      </c>
      <c r="AB10" s="178">
        <f>P10*VLOOKUP("Hours",'Model Assumptions'!$B$50:$O$72,7,FALSE)*'Building Breakdown'!$H26*'Building Breakdown'!$I26/168</f>
        <v>0</v>
      </c>
      <c r="AC10" s="178">
        <f>Q10*VLOOKUP("Hours",'Model Assumptions'!$B$50:$O$72,8,FALSE)*'Building Breakdown'!$H26*'Building Breakdown'!$I26/168</f>
        <v>0</v>
      </c>
      <c r="AD10" s="178">
        <f>R10*VLOOKUP("Hours",'Model Assumptions'!$B$50:$O$72,9,FALSE)*'Building Breakdown'!$H26*'Building Breakdown'!$I26/168</f>
        <v>0</v>
      </c>
      <c r="AE10" s="178">
        <f>S10*VLOOKUP("Hours",'Model Assumptions'!$B$50:$O$72,10,FALSE)*'Building Breakdown'!$H26*'Building Breakdown'!$I26/168</f>
        <v>0</v>
      </c>
      <c r="AF10" s="178">
        <f>T10*VLOOKUP("Hours",'Model Assumptions'!$B$50:$O$72,11,FALSE)*'Building Breakdown'!$H26*'Building Breakdown'!$I26/168</f>
        <v>0</v>
      </c>
      <c r="AG10" s="178">
        <f>U10*VLOOKUP("Hours",'Model Assumptions'!$B$50:$O$72,12,FALSE)*'Building Breakdown'!$H26*'Building Breakdown'!$I26/168</f>
        <v>0</v>
      </c>
      <c r="AH10" s="179">
        <f>V10*VLOOKUP("Hours",'Model Assumptions'!$B$50:$O$72,13,FALSE)*'Building Breakdown'!$H26*'Building Breakdown'!$I26/168</f>
        <v>0</v>
      </c>
      <c r="AI10" s="234">
        <f t="shared" si="2"/>
        <v>0</v>
      </c>
      <c r="AJ10" s="234">
        <f>'Building Breakdown'!AW26</f>
        <v>0</v>
      </c>
      <c r="AK10" s="234">
        <f t="shared" ref="AK10:AK60" si="6">AJ10-AI10</f>
        <v>0</v>
      </c>
      <c r="AL10" s="235">
        <f>IF(EXACT('Fabric Changes'!C10,"Yes"),IF('Building Breakdown'!$D$5="High_Security",(HLOOKUP(G10,'Model Assumptions'!$C$43:$E$45,3,FALSE)*'Building Breakdown'!S26),(HLOOKUP(G10,'Model Assumptions'!$C$43:$E$45,2,FALSE)*'Building Breakdown'!S26)),0)</f>
        <v>0</v>
      </c>
      <c r="AM10" s="236">
        <f>IF(EXACT('Fabric Changes'!D10,"Yes"),IF('Building Breakdown'!$D$5="High_Security",('Model Assumptions'!$G$45*'Building Breakdown'!T26),('Model Assumptions'!$G$44*'Building Breakdown'!T26)),0)</f>
        <v>0</v>
      </c>
      <c r="AN10" s="237">
        <f>IF(EXACT('Fabric Changes'!E10,"Yes"),IF('Building Breakdown'!$D$5="High_Security",(HLOOKUP(F10,'Model Assumptions'!C$43:K$45,3,FALSE)*'Building Breakdown'!U26),(HLOOKUP(F10,'Model Assumptions'!C$43:K$45,2,FALSE)*'Building Breakdown'!U26)),0)</f>
        <v>0</v>
      </c>
      <c r="AO10" s="238">
        <f t="shared" si="3"/>
        <v>0</v>
      </c>
      <c r="AP10" s="238">
        <f>IF('Building Breakdown'!$F26='Fabric Changes'!$AP$6,$AK10*'Building Breakdown'!$D$8,0)</f>
        <v>0</v>
      </c>
      <c r="AQ10" s="285">
        <f t="shared" si="1"/>
        <v>0</v>
      </c>
      <c r="AR10" s="287">
        <f>IF($AP10=0,0,$AK10*VLOOKUP('Building Breakdown'!$E$8,'Emission factors'!$C$4:$D$8,2,FALSE))</f>
        <v>0</v>
      </c>
      <c r="AS10" s="238">
        <f>IF('Building Breakdown'!$F26='Fabric Changes'!$AS$6,$AK10*'Building Breakdown'!$D$9,0)</f>
        <v>0</v>
      </c>
      <c r="AT10" s="285">
        <f t="shared" si="4"/>
        <v>0</v>
      </c>
      <c r="AU10" s="287">
        <f>IF($AS10=0,0,$AK10*VLOOKUP('Building Breakdown'!$E$9,'Emission factors'!$C$4:$D$8,2,FALSE))</f>
        <v>0</v>
      </c>
      <c r="AV10" s="238">
        <f>IF('Building Breakdown'!$F26='Fabric Changes'!$AV$6,$AK10*'Building Breakdown'!$D$10,0)</f>
        <v>0</v>
      </c>
      <c r="AW10" s="285">
        <f t="shared" si="5"/>
        <v>0</v>
      </c>
      <c r="AX10" s="287">
        <f>IF($AV10=0,0,$AK10*VLOOKUP('Building Breakdown'!$E$10,'Emission factors'!$C$4:$D$8,2,FALSE))</f>
        <v>0</v>
      </c>
      <c r="AY10" s="169"/>
    </row>
    <row r="11" spans="2:51" x14ac:dyDescent="0.3">
      <c r="B11" s="226" t="str">
        <f>IF('Building Breakdown'!C27="","",'Building Breakdown'!C27)</f>
        <v/>
      </c>
      <c r="C11" s="106"/>
      <c r="D11" s="106"/>
      <c r="E11" s="106"/>
      <c r="F11" s="106"/>
      <c r="G11" s="106"/>
      <c r="H11" s="177">
        <f>MIN(IF(EXACT('Fabric Changes'!C11,"Yes"),'Model Assumptions'!$B$21,'Building Breakdown'!V27),'Building Breakdown'!V27)</f>
        <v>0</v>
      </c>
      <c r="I11" s="178">
        <f>MIN(IF(EXACT('Fabric Changes'!D11,"Yes"),'Model Assumptions'!$D$21,'Building Breakdown'!W27),'Building Breakdown'!W27)</f>
        <v>0</v>
      </c>
      <c r="J11" s="182">
        <f>MIN(IF(EXACT('Fabric Changes'!E11,"Yes"),'Model Assumptions'!$E$21,'Building Breakdown'!X27),'Building Breakdown'!X27)</f>
        <v>0</v>
      </c>
      <c r="K11" s="177">
        <f>(((('Building Breakdown'!$S27*$H11)+('Building Breakdown'!$T27*$I11)+('Building Breakdown'!$U27*$J11))*('Building Breakdown'!$G27-(VLOOKUP('Building Breakdown'!$D$7,'Model Assumptions'!$B$50:$O$72,2,FALSE))))/1000)*'Building Breakdown'!$E27</f>
        <v>0</v>
      </c>
      <c r="L11" s="178">
        <f>(((('Building Breakdown'!$S27*$H11)+('Building Breakdown'!$T27*$I11)+('Building Breakdown'!$U27*$J11))*('Building Breakdown'!$G27-(VLOOKUP('Building Breakdown'!$D$7,'Model Assumptions'!$B$50:$O$72,3,FALSE))))/1000)*'Building Breakdown'!$E27</f>
        <v>0</v>
      </c>
      <c r="M11" s="178">
        <f>(((('Building Breakdown'!$S27*$H11)+('Building Breakdown'!$T27*$I11)+('Building Breakdown'!$U27*$J11))*('Building Breakdown'!$G27-(VLOOKUP('Building Breakdown'!$D$7,'Model Assumptions'!$B$50:$O$72,4,FALSE))))/1000)*'Building Breakdown'!$E27</f>
        <v>0</v>
      </c>
      <c r="N11" s="178">
        <f>(((('Building Breakdown'!$S27*$H11)+('Building Breakdown'!$T27*$I11)+('Building Breakdown'!$U27*$J11))*('Building Breakdown'!$G27-(VLOOKUP('Building Breakdown'!$D$7,'Model Assumptions'!$B$50:$O$72,5,FALSE))))/1000)*'Building Breakdown'!$E27</f>
        <v>0</v>
      </c>
      <c r="O11" s="178">
        <f>(((('Building Breakdown'!$S27*$H11)+('Building Breakdown'!$T27*$I11)+('Building Breakdown'!$U27*$J11))*('Building Breakdown'!$G27-(VLOOKUP('Building Breakdown'!$D$7,'Model Assumptions'!$B$50:$O$72,6,FALSE))))/1000)*'Building Breakdown'!$E27</f>
        <v>0</v>
      </c>
      <c r="P11" s="178">
        <f>(((('Building Breakdown'!$S27*$H11)+('Building Breakdown'!$T27*$I11)+('Building Breakdown'!$U27*$J11))*('Building Breakdown'!$G27-(VLOOKUP('Building Breakdown'!$D$7,'Model Assumptions'!$B$50:$O$72,7,FALSE))))/1000)*'Building Breakdown'!$E27</f>
        <v>0</v>
      </c>
      <c r="Q11" s="178">
        <f>(((('Building Breakdown'!$S27*$H11)+('Building Breakdown'!$T27*$I11)+('Building Breakdown'!$U27*$J11))*('Building Breakdown'!$G27-(VLOOKUP('Building Breakdown'!$D$7,'Model Assumptions'!$B$50:$O$72,8,FALSE))))/1000)*'Building Breakdown'!$E27</f>
        <v>0</v>
      </c>
      <c r="R11" s="178">
        <f>(((('Building Breakdown'!$S27*$H11)+('Building Breakdown'!$T27*$I11)+('Building Breakdown'!$U27*$J11))*('Building Breakdown'!$G27-(VLOOKUP('Building Breakdown'!$D$7,'Model Assumptions'!$B$50:$O$72,9,FALSE))))/1000)*'Building Breakdown'!$E27</f>
        <v>0</v>
      </c>
      <c r="S11" s="178">
        <f>(((('Building Breakdown'!$S27*$H11)+('Building Breakdown'!$T27*$I11)+('Building Breakdown'!$U27*$J11))*('Building Breakdown'!$G27-(VLOOKUP('Building Breakdown'!$D$7,'Model Assumptions'!$B$50:$O$72,10,FALSE))))/1000)*'Building Breakdown'!$E27</f>
        <v>0</v>
      </c>
      <c r="T11" s="178">
        <f>(((('Building Breakdown'!$S27*$H11)+('Building Breakdown'!$T27*$I11)+('Building Breakdown'!$U27*$J11))*('Building Breakdown'!$G27-(VLOOKUP('Building Breakdown'!$D$7,'Model Assumptions'!$B$50:$O$72,11,FALSE))))/1000)*'Building Breakdown'!$E27</f>
        <v>0</v>
      </c>
      <c r="U11" s="178">
        <f>(((('Building Breakdown'!$S27*$H11)+('Building Breakdown'!$T27*$I11)+('Building Breakdown'!$U27*$J11))*('Building Breakdown'!$G27-(VLOOKUP('Building Breakdown'!$D$7,'Model Assumptions'!$B$50:$O$72,12,FALSE))))/1000)*'Building Breakdown'!$E27</f>
        <v>0</v>
      </c>
      <c r="V11" s="179">
        <f>(((('Building Breakdown'!$S27*$H11)+('Building Breakdown'!$T27*$I11)+('Building Breakdown'!$U27*$J11))*('Building Breakdown'!$G27-(VLOOKUP('Building Breakdown'!$D$7,'Model Assumptions'!$B$50:$O$72,13,FALSE))))/1000)*'Building Breakdown'!$E27</f>
        <v>0</v>
      </c>
      <c r="W11" s="177">
        <f>K11*VLOOKUP("Hours",'Model Assumptions'!$B$50:$O$72,2,FALSE)*'Building Breakdown'!$H27*'Building Breakdown'!$I27/168</f>
        <v>0</v>
      </c>
      <c r="X11" s="178">
        <f>L11*VLOOKUP("Hours",'Model Assumptions'!$B$50:$O$72,3,FALSE)*'Building Breakdown'!$H27*'Building Breakdown'!$I27/168</f>
        <v>0</v>
      </c>
      <c r="Y11" s="178">
        <f>M11*VLOOKUP("Hours",'Model Assumptions'!$B$50:$O$72,4,FALSE)*'Building Breakdown'!$H27*'Building Breakdown'!$I27/168</f>
        <v>0</v>
      </c>
      <c r="Z11" s="178">
        <f>N11*VLOOKUP("Hours",'Model Assumptions'!$B$50:$O$72,5,FALSE)*'Building Breakdown'!$H27*'Building Breakdown'!$I27/168</f>
        <v>0</v>
      </c>
      <c r="AA11" s="178">
        <f>O11*VLOOKUP("Hours",'Model Assumptions'!$B$50:$O$72,6,FALSE)*'Building Breakdown'!$H27*'Building Breakdown'!$I27/168</f>
        <v>0</v>
      </c>
      <c r="AB11" s="178">
        <f>P11*VLOOKUP("Hours",'Model Assumptions'!$B$50:$O$72,7,FALSE)*'Building Breakdown'!$H27*'Building Breakdown'!$I27/168</f>
        <v>0</v>
      </c>
      <c r="AC11" s="178">
        <f>Q11*VLOOKUP("Hours",'Model Assumptions'!$B$50:$O$72,8,FALSE)*'Building Breakdown'!$H27*'Building Breakdown'!$I27/168</f>
        <v>0</v>
      </c>
      <c r="AD11" s="178">
        <f>R11*VLOOKUP("Hours",'Model Assumptions'!$B$50:$O$72,9,FALSE)*'Building Breakdown'!$H27*'Building Breakdown'!$I27/168</f>
        <v>0</v>
      </c>
      <c r="AE11" s="178">
        <f>S11*VLOOKUP("Hours",'Model Assumptions'!$B$50:$O$72,10,FALSE)*'Building Breakdown'!$H27*'Building Breakdown'!$I27/168</f>
        <v>0</v>
      </c>
      <c r="AF11" s="178">
        <f>T11*VLOOKUP("Hours",'Model Assumptions'!$B$50:$O$72,11,FALSE)*'Building Breakdown'!$H27*'Building Breakdown'!$I27/168</f>
        <v>0</v>
      </c>
      <c r="AG11" s="178">
        <f>U11*VLOOKUP("Hours",'Model Assumptions'!$B$50:$O$72,12,FALSE)*'Building Breakdown'!$H27*'Building Breakdown'!$I27/168</f>
        <v>0</v>
      </c>
      <c r="AH11" s="179">
        <f>V11*VLOOKUP("Hours",'Model Assumptions'!$B$50:$O$72,13,FALSE)*'Building Breakdown'!$H27*'Building Breakdown'!$I27/168</f>
        <v>0</v>
      </c>
      <c r="AI11" s="234">
        <f t="shared" si="2"/>
        <v>0</v>
      </c>
      <c r="AJ11" s="234">
        <f>'Building Breakdown'!AW27</f>
        <v>0</v>
      </c>
      <c r="AK11" s="234">
        <f t="shared" si="6"/>
        <v>0</v>
      </c>
      <c r="AL11" s="235">
        <f>IF(EXACT('Fabric Changes'!C11,"Yes"),IF('Building Breakdown'!$D$5="High_Security",(HLOOKUP(G11,'Model Assumptions'!$C$43:$E$45,3,FALSE)*'Building Breakdown'!S27),(HLOOKUP(G11,'Model Assumptions'!$C$43:$E$45,2,FALSE)*'Building Breakdown'!S27)),0)</f>
        <v>0</v>
      </c>
      <c r="AM11" s="236">
        <f>IF(EXACT('Fabric Changes'!D11,"Yes"),IF('Building Breakdown'!$D$5="High_Security",('Model Assumptions'!$G$45*'Building Breakdown'!T27),('Model Assumptions'!$G$44*'Building Breakdown'!T27)),0)</f>
        <v>0</v>
      </c>
      <c r="AN11" s="237">
        <f>IF(EXACT('Fabric Changes'!E11,"Yes"),IF('Building Breakdown'!$D$5="High_Security",(HLOOKUP(F11,'Model Assumptions'!C$43:K$45,3,FALSE)*'Building Breakdown'!U27),(HLOOKUP(F11,'Model Assumptions'!C$43:K$45,2,FALSE)*'Building Breakdown'!U27)),0)</f>
        <v>0</v>
      </c>
      <c r="AO11" s="238">
        <f t="shared" si="3"/>
        <v>0</v>
      </c>
      <c r="AP11" s="238">
        <f>IF('Building Breakdown'!$F27='Fabric Changes'!$AP$6,$AK11*'Building Breakdown'!$D$8,0)</f>
        <v>0</v>
      </c>
      <c r="AQ11" s="285">
        <f t="shared" si="1"/>
        <v>0</v>
      </c>
      <c r="AR11" s="287">
        <f>IF($AP11=0,0,$AK11*VLOOKUP('Building Breakdown'!$E$8,'Emission factors'!$C$4:$D$8,2,FALSE))</f>
        <v>0</v>
      </c>
      <c r="AS11" s="238">
        <f>IF('Building Breakdown'!$F27='Fabric Changes'!$AS$6,$AK11*'Building Breakdown'!$D$9,0)</f>
        <v>0</v>
      </c>
      <c r="AT11" s="285">
        <f t="shared" si="4"/>
        <v>0</v>
      </c>
      <c r="AU11" s="287">
        <f>IF($AS11=0,0,$AK11*VLOOKUP('Building Breakdown'!$E$9,'Emission factors'!$C$4:$D$8,2,FALSE))</f>
        <v>0</v>
      </c>
      <c r="AV11" s="238">
        <f>IF('Building Breakdown'!$F27='Fabric Changes'!$AV$6,$AK11*'Building Breakdown'!$D$10,0)</f>
        <v>0</v>
      </c>
      <c r="AW11" s="285">
        <f t="shared" si="5"/>
        <v>0</v>
      </c>
      <c r="AX11" s="287">
        <f>IF($AV11=0,0,$AK11*VLOOKUP('Building Breakdown'!$E$10,'Emission factors'!$C$4:$D$8,2,FALSE))</f>
        <v>0</v>
      </c>
      <c r="AY11" s="169"/>
    </row>
    <row r="12" spans="2:51" x14ac:dyDescent="0.3">
      <c r="B12" s="226" t="str">
        <f>IF('Building Breakdown'!C28="","",'Building Breakdown'!C28)</f>
        <v/>
      </c>
      <c r="C12" s="106"/>
      <c r="D12" s="106"/>
      <c r="E12" s="106"/>
      <c r="F12" s="106"/>
      <c r="G12" s="106"/>
      <c r="H12" s="177">
        <f>MIN(IF(EXACT('Fabric Changes'!C12,"Yes"),'Model Assumptions'!$B$21,'Building Breakdown'!V28),'Building Breakdown'!V28)</f>
        <v>0</v>
      </c>
      <c r="I12" s="178">
        <f>MIN(IF(EXACT('Fabric Changes'!D12,"Yes"),'Model Assumptions'!$D$21,'Building Breakdown'!W28),'Building Breakdown'!W28)</f>
        <v>0</v>
      </c>
      <c r="J12" s="182">
        <f>MIN(IF(EXACT('Fabric Changes'!E12,"Yes"),'Model Assumptions'!$E$21,'Building Breakdown'!X28),'Building Breakdown'!X28)</f>
        <v>0</v>
      </c>
      <c r="K12" s="177">
        <f>(((('Building Breakdown'!$S28*$H12)+('Building Breakdown'!$T28*$I12)+('Building Breakdown'!$U28*$J12))*('Building Breakdown'!$G28-(VLOOKUP('Building Breakdown'!$D$7,'Model Assumptions'!$B$50:$O$72,2,FALSE))))/1000)*'Building Breakdown'!$E28</f>
        <v>0</v>
      </c>
      <c r="L12" s="178">
        <f>(((('Building Breakdown'!$S28*$H12)+('Building Breakdown'!$T28*$I12)+('Building Breakdown'!$U28*$J12))*('Building Breakdown'!$G28-(VLOOKUP('Building Breakdown'!$D$7,'Model Assumptions'!$B$50:$O$72,3,FALSE))))/1000)*'Building Breakdown'!$E28</f>
        <v>0</v>
      </c>
      <c r="M12" s="178">
        <f>(((('Building Breakdown'!$S28*$H12)+('Building Breakdown'!$T28*$I12)+('Building Breakdown'!$U28*$J12))*('Building Breakdown'!$G28-(VLOOKUP('Building Breakdown'!$D$7,'Model Assumptions'!$B$50:$O$72,4,FALSE))))/1000)*'Building Breakdown'!$E28</f>
        <v>0</v>
      </c>
      <c r="N12" s="178">
        <f>(((('Building Breakdown'!$S28*$H12)+('Building Breakdown'!$T28*$I12)+('Building Breakdown'!$U28*$J12))*('Building Breakdown'!$G28-(VLOOKUP('Building Breakdown'!$D$7,'Model Assumptions'!$B$50:$O$72,5,FALSE))))/1000)*'Building Breakdown'!$E28</f>
        <v>0</v>
      </c>
      <c r="O12" s="178">
        <f>(((('Building Breakdown'!$S28*$H12)+('Building Breakdown'!$T28*$I12)+('Building Breakdown'!$U28*$J12))*('Building Breakdown'!$G28-(VLOOKUP('Building Breakdown'!$D$7,'Model Assumptions'!$B$50:$O$72,6,FALSE))))/1000)*'Building Breakdown'!$E28</f>
        <v>0</v>
      </c>
      <c r="P12" s="178">
        <f>(((('Building Breakdown'!$S28*$H12)+('Building Breakdown'!$T28*$I12)+('Building Breakdown'!$U28*$J12))*('Building Breakdown'!$G28-(VLOOKUP('Building Breakdown'!$D$7,'Model Assumptions'!$B$50:$O$72,7,FALSE))))/1000)*'Building Breakdown'!$E28</f>
        <v>0</v>
      </c>
      <c r="Q12" s="178">
        <f>(((('Building Breakdown'!$S28*$H12)+('Building Breakdown'!$T28*$I12)+('Building Breakdown'!$U28*$J12))*('Building Breakdown'!$G28-(VLOOKUP('Building Breakdown'!$D$7,'Model Assumptions'!$B$50:$O$72,8,FALSE))))/1000)*'Building Breakdown'!$E28</f>
        <v>0</v>
      </c>
      <c r="R12" s="178">
        <f>(((('Building Breakdown'!$S28*$H12)+('Building Breakdown'!$T28*$I12)+('Building Breakdown'!$U28*$J12))*('Building Breakdown'!$G28-(VLOOKUP('Building Breakdown'!$D$7,'Model Assumptions'!$B$50:$O$72,9,FALSE))))/1000)*'Building Breakdown'!$E28</f>
        <v>0</v>
      </c>
      <c r="S12" s="178">
        <f>(((('Building Breakdown'!$S28*$H12)+('Building Breakdown'!$T28*$I12)+('Building Breakdown'!$U28*$J12))*('Building Breakdown'!$G28-(VLOOKUP('Building Breakdown'!$D$7,'Model Assumptions'!$B$50:$O$72,10,FALSE))))/1000)*'Building Breakdown'!$E28</f>
        <v>0</v>
      </c>
      <c r="T12" s="178">
        <f>(((('Building Breakdown'!$S28*$H12)+('Building Breakdown'!$T28*$I12)+('Building Breakdown'!$U28*$J12))*('Building Breakdown'!$G28-(VLOOKUP('Building Breakdown'!$D$7,'Model Assumptions'!$B$50:$O$72,11,FALSE))))/1000)*'Building Breakdown'!$E28</f>
        <v>0</v>
      </c>
      <c r="U12" s="178">
        <f>(((('Building Breakdown'!$S28*$H12)+('Building Breakdown'!$T28*$I12)+('Building Breakdown'!$U28*$J12))*('Building Breakdown'!$G28-(VLOOKUP('Building Breakdown'!$D$7,'Model Assumptions'!$B$50:$O$72,12,FALSE))))/1000)*'Building Breakdown'!$E28</f>
        <v>0</v>
      </c>
      <c r="V12" s="179">
        <f>(((('Building Breakdown'!$S28*$H12)+('Building Breakdown'!$T28*$I12)+('Building Breakdown'!$U28*$J12))*('Building Breakdown'!$G28-(VLOOKUP('Building Breakdown'!$D$7,'Model Assumptions'!$B$50:$O$72,13,FALSE))))/1000)*'Building Breakdown'!$E28</f>
        <v>0</v>
      </c>
      <c r="W12" s="177">
        <f>K12*VLOOKUP("Hours",'Model Assumptions'!$B$50:$O$72,2,FALSE)*'Building Breakdown'!$H28*'Building Breakdown'!$I28/168</f>
        <v>0</v>
      </c>
      <c r="X12" s="178">
        <f>L12*VLOOKUP("Hours",'Model Assumptions'!$B$50:$O$72,3,FALSE)*'Building Breakdown'!$H28*'Building Breakdown'!$I28/168</f>
        <v>0</v>
      </c>
      <c r="Y12" s="178">
        <f>M12*VLOOKUP("Hours",'Model Assumptions'!$B$50:$O$72,4,FALSE)*'Building Breakdown'!$H28*'Building Breakdown'!$I28/168</f>
        <v>0</v>
      </c>
      <c r="Z12" s="178">
        <f>N12*VLOOKUP("Hours",'Model Assumptions'!$B$50:$O$72,5,FALSE)*'Building Breakdown'!$H28*'Building Breakdown'!$I28/168</f>
        <v>0</v>
      </c>
      <c r="AA12" s="178">
        <f>O12*VLOOKUP("Hours",'Model Assumptions'!$B$50:$O$72,6,FALSE)*'Building Breakdown'!$H28*'Building Breakdown'!$I28/168</f>
        <v>0</v>
      </c>
      <c r="AB12" s="178">
        <f>P12*VLOOKUP("Hours",'Model Assumptions'!$B$50:$O$72,7,FALSE)*'Building Breakdown'!$H28*'Building Breakdown'!$I28/168</f>
        <v>0</v>
      </c>
      <c r="AC12" s="178">
        <f>Q12*VLOOKUP("Hours",'Model Assumptions'!$B$50:$O$72,8,FALSE)*'Building Breakdown'!$H28*'Building Breakdown'!$I28/168</f>
        <v>0</v>
      </c>
      <c r="AD12" s="178">
        <f>R12*VLOOKUP("Hours",'Model Assumptions'!$B$50:$O$72,9,FALSE)*'Building Breakdown'!$H28*'Building Breakdown'!$I28/168</f>
        <v>0</v>
      </c>
      <c r="AE12" s="178">
        <f>S12*VLOOKUP("Hours",'Model Assumptions'!$B$50:$O$72,10,FALSE)*'Building Breakdown'!$H28*'Building Breakdown'!$I28/168</f>
        <v>0</v>
      </c>
      <c r="AF12" s="178">
        <f>T12*VLOOKUP("Hours",'Model Assumptions'!$B$50:$O$72,11,FALSE)*'Building Breakdown'!$H28*'Building Breakdown'!$I28/168</f>
        <v>0</v>
      </c>
      <c r="AG12" s="178">
        <f>U12*VLOOKUP("Hours",'Model Assumptions'!$B$50:$O$72,12,FALSE)*'Building Breakdown'!$H28*'Building Breakdown'!$I28/168</f>
        <v>0</v>
      </c>
      <c r="AH12" s="179">
        <f>V12*VLOOKUP("Hours",'Model Assumptions'!$B$50:$O$72,13,FALSE)*'Building Breakdown'!$H28*'Building Breakdown'!$I28/168</f>
        <v>0</v>
      </c>
      <c r="AI12" s="234">
        <f t="shared" si="2"/>
        <v>0</v>
      </c>
      <c r="AJ12" s="234">
        <f>'Building Breakdown'!AW28</f>
        <v>0</v>
      </c>
      <c r="AK12" s="234">
        <f t="shared" si="6"/>
        <v>0</v>
      </c>
      <c r="AL12" s="235">
        <f>IF(EXACT('Fabric Changes'!C12,"Yes"),IF('Building Breakdown'!$D$5="High_Security",(HLOOKUP(G12,'Model Assumptions'!$C$43:$E$45,3,FALSE)*'Building Breakdown'!S28),(HLOOKUP(G12,'Model Assumptions'!$C$43:$E$45,2,FALSE)*'Building Breakdown'!S28)),0)</f>
        <v>0</v>
      </c>
      <c r="AM12" s="236">
        <f>IF(EXACT('Fabric Changes'!D12,"Yes"),IF('Building Breakdown'!$D$5="High_Security",('Model Assumptions'!$G$45*'Building Breakdown'!T28),('Model Assumptions'!$G$44*'Building Breakdown'!T28)),0)</f>
        <v>0</v>
      </c>
      <c r="AN12" s="237">
        <f>IF(EXACT('Fabric Changes'!E12,"Yes"),IF('Building Breakdown'!$D$5="High_Security",(HLOOKUP(F12,'Model Assumptions'!C$43:K$45,3,FALSE)*'Building Breakdown'!U28),(HLOOKUP(F12,'Model Assumptions'!C$43:K$45,2,FALSE)*'Building Breakdown'!U28)),0)</f>
        <v>0</v>
      </c>
      <c r="AO12" s="238">
        <f t="shared" si="3"/>
        <v>0</v>
      </c>
      <c r="AP12" s="238">
        <f>IF('Building Breakdown'!$F28='Fabric Changes'!$AP$6,$AK12*'Building Breakdown'!$D$8,0)</f>
        <v>0</v>
      </c>
      <c r="AQ12" s="285">
        <f t="shared" si="1"/>
        <v>0</v>
      </c>
      <c r="AR12" s="287">
        <f>IF($AP12=0,0,$AK12*VLOOKUP('Building Breakdown'!$E$8,'Emission factors'!$C$4:$D$8,2,FALSE))</f>
        <v>0</v>
      </c>
      <c r="AS12" s="238">
        <f>IF('Building Breakdown'!$F28='Fabric Changes'!$AS$6,$AK12*'Building Breakdown'!$D$9,0)</f>
        <v>0</v>
      </c>
      <c r="AT12" s="285">
        <f t="shared" si="4"/>
        <v>0</v>
      </c>
      <c r="AU12" s="287">
        <f>IF($AS12=0,0,$AK12*VLOOKUP('Building Breakdown'!$E$9,'Emission factors'!$C$4:$D$8,2,FALSE))</f>
        <v>0</v>
      </c>
      <c r="AV12" s="238">
        <f>IF('Building Breakdown'!$F28='Fabric Changes'!$AV$6,$AK12*'Building Breakdown'!$D$10,0)</f>
        <v>0</v>
      </c>
      <c r="AW12" s="285">
        <f t="shared" si="5"/>
        <v>0</v>
      </c>
      <c r="AX12" s="287">
        <f>IF($AV12=0,0,$AK12*VLOOKUP('Building Breakdown'!$E$10,'Emission factors'!$C$4:$D$8,2,FALSE))</f>
        <v>0</v>
      </c>
      <c r="AY12" s="169"/>
    </row>
    <row r="13" spans="2:51" x14ac:dyDescent="0.3">
      <c r="B13" s="226" t="str">
        <f>IF('Building Breakdown'!C29="","",'Building Breakdown'!C29)</f>
        <v/>
      </c>
      <c r="C13" s="106"/>
      <c r="D13" s="106"/>
      <c r="E13" s="106"/>
      <c r="F13" s="106"/>
      <c r="G13" s="106"/>
      <c r="H13" s="177">
        <f>MIN(IF(EXACT('Fabric Changes'!C13,"Yes"),'Model Assumptions'!$B$21,'Building Breakdown'!V29),'Building Breakdown'!V29)</f>
        <v>0</v>
      </c>
      <c r="I13" s="178">
        <f>MIN(IF(EXACT('Fabric Changes'!D13,"Yes"),'Model Assumptions'!$D$21,'Building Breakdown'!W29),'Building Breakdown'!W29)</f>
        <v>0</v>
      </c>
      <c r="J13" s="182">
        <f>MIN(IF(EXACT('Fabric Changes'!E13,"Yes"),'Model Assumptions'!$E$21,'Building Breakdown'!X29),'Building Breakdown'!X29)</f>
        <v>0</v>
      </c>
      <c r="K13" s="177">
        <f>(((('Building Breakdown'!$S29*$H13)+('Building Breakdown'!$T29*$I13)+('Building Breakdown'!$U29*$J13))*('Building Breakdown'!$G29-(VLOOKUP('Building Breakdown'!$D$7,'Model Assumptions'!$B$50:$O$72,2,FALSE))))/1000)*'Building Breakdown'!$E29</f>
        <v>0</v>
      </c>
      <c r="L13" s="178">
        <f>(((('Building Breakdown'!$S29*$H13)+('Building Breakdown'!$T29*$I13)+('Building Breakdown'!$U29*$J13))*('Building Breakdown'!$G29-(VLOOKUP('Building Breakdown'!$D$7,'Model Assumptions'!$B$50:$O$72,3,FALSE))))/1000)*'Building Breakdown'!$E29</f>
        <v>0</v>
      </c>
      <c r="M13" s="178">
        <f>(((('Building Breakdown'!$S29*$H13)+('Building Breakdown'!$T29*$I13)+('Building Breakdown'!$U29*$J13))*('Building Breakdown'!$G29-(VLOOKUP('Building Breakdown'!$D$7,'Model Assumptions'!$B$50:$O$72,4,FALSE))))/1000)*'Building Breakdown'!$E29</f>
        <v>0</v>
      </c>
      <c r="N13" s="178">
        <f>(((('Building Breakdown'!$S29*$H13)+('Building Breakdown'!$T29*$I13)+('Building Breakdown'!$U29*$J13))*('Building Breakdown'!$G29-(VLOOKUP('Building Breakdown'!$D$7,'Model Assumptions'!$B$50:$O$72,5,FALSE))))/1000)*'Building Breakdown'!$E29</f>
        <v>0</v>
      </c>
      <c r="O13" s="178">
        <f>(((('Building Breakdown'!$S29*$H13)+('Building Breakdown'!$T29*$I13)+('Building Breakdown'!$U29*$J13))*('Building Breakdown'!$G29-(VLOOKUP('Building Breakdown'!$D$7,'Model Assumptions'!$B$50:$O$72,6,FALSE))))/1000)*'Building Breakdown'!$E29</f>
        <v>0</v>
      </c>
      <c r="P13" s="178">
        <f>(((('Building Breakdown'!$S29*$H13)+('Building Breakdown'!$T29*$I13)+('Building Breakdown'!$U29*$J13))*('Building Breakdown'!$G29-(VLOOKUP('Building Breakdown'!$D$7,'Model Assumptions'!$B$50:$O$72,7,FALSE))))/1000)*'Building Breakdown'!$E29</f>
        <v>0</v>
      </c>
      <c r="Q13" s="178">
        <f>(((('Building Breakdown'!$S29*$H13)+('Building Breakdown'!$T29*$I13)+('Building Breakdown'!$U29*$J13))*('Building Breakdown'!$G29-(VLOOKUP('Building Breakdown'!$D$7,'Model Assumptions'!$B$50:$O$72,8,FALSE))))/1000)*'Building Breakdown'!$E29</f>
        <v>0</v>
      </c>
      <c r="R13" s="178">
        <f>(((('Building Breakdown'!$S29*$H13)+('Building Breakdown'!$T29*$I13)+('Building Breakdown'!$U29*$J13))*('Building Breakdown'!$G29-(VLOOKUP('Building Breakdown'!$D$7,'Model Assumptions'!$B$50:$O$72,9,FALSE))))/1000)*'Building Breakdown'!$E29</f>
        <v>0</v>
      </c>
      <c r="S13" s="178">
        <f>(((('Building Breakdown'!$S29*$H13)+('Building Breakdown'!$T29*$I13)+('Building Breakdown'!$U29*$J13))*('Building Breakdown'!$G29-(VLOOKUP('Building Breakdown'!$D$7,'Model Assumptions'!$B$50:$O$72,10,FALSE))))/1000)*'Building Breakdown'!$E29</f>
        <v>0</v>
      </c>
      <c r="T13" s="178">
        <f>(((('Building Breakdown'!$S29*$H13)+('Building Breakdown'!$T29*$I13)+('Building Breakdown'!$U29*$J13))*('Building Breakdown'!$G29-(VLOOKUP('Building Breakdown'!$D$7,'Model Assumptions'!$B$50:$O$72,11,FALSE))))/1000)*'Building Breakdown'!$E29</f>
        <v>0</v>
      </c>
      <c r="U13" s="178">
        <f>(((('Building Breakdown'!$S29*$H13)+('Building Breakdown'!$T29*$I13)+('Building Breakdown'!$U29*$J13))*('Building Breakdown'!$G29-(VLOOKUP('Building Breakdown'!$D$7,'Model Assumptions'!$B$50:$O$72,12,FALSE))))/1000)*'Building Breakdown'!$E29</f>
        <v>0</v>
      </c>
      <c r="V13" s="179">
        <f>(((('Building Breakdown'!$S29*$H13)+('Building Breakdown'!$T29*$I13)+('Building Breakdown'!$U29*$J13))*('Building Breakdown'!$G29-(VLOOKUP('Building Breakdown'!$D$7,'Model Assumptions'!$B$50:$O$72,13,FALSE))))/1000)*'Building Breakdown'!$E29</f>
        <v>0</v>
      </c>
      <c r="W13" s="177">
        <f>K13*VLOOKUP("Hours",'Model Assumptions'!$B$50:$O$72,2,FALSE)*'Building Breakdown'!$H29*'Building Breakdown'!$I29/168</f>
        <v>0</v>
      </c>
      <c r="X13" s="178">
        <f>L13*VLOOKUP("Hours",'Model Assumptions'!$B$50:$O$72,3,FALSE)*'Building Breakdown'!$H29*'Building Breakdown'!$I29/168</f>
        <v>0</v>
      </c>
      <c r="Y13" s="178">
        <f>M13*VLOOKUP("Hours",'Model Assumptions'!$B$50:$O$72,4,FALSE)*'Building Breakdown'!$H29*'Building Breakdown'!$I29/168</f>
        <v>0</v>
      </c>
      <c r="Z13" s="178">
        <f>N13*VLOOKUP("Hours",'Model Assumptions'!$B$50:$O$72,5,FALSE)*'Building Breakdown'!$H29*'Building Breakdown'!$I29/168</f>
        <v>0</v>
      </c>
      <c r="AA13" s="178">
        <f>O13*VLOOKUP("Hours",'Model Assumptions'!$B$50:$O$72,6,FALSE)*'Building Breakdown'!$H29*'Building Breakdown'!$I29/168</f>
        <v>0</v>
      </c>
      <c r="AB13" s="178">
        <f>P13*VLOOKUP("Hours",'Model Assumptions'!$B$50:$O$72,7,FALSE)*'Building Breakdown'!$H29*'Building Breakdown'!$I29/168</f>
        <v>0</v>
      </c>
      <c r="AC13" s="178">
        <f>Q13*VLOOKUP("Hours",'Model Assumptions'!$B$50:$O$72,8,FALSE)*'Building Breakdown'!$H29*'Building Breakdown'!$I29/168</f>
        <v>0</v>
      </c>
      <c r="AD13" s="178">
        <f>R13*VLOOKUP("Hours",'Model Assumptions'!$B$50:$O$72,9,FALSE)*'Building Breakdown'!$H29*'Building Breakdown'!$I29/168</f>
        <v>0</v>
      </c>
      <c r="AE13" s="178">
        <f>S13*VLOOKUP("Hours",'Model Assumptions'!$B$50:$O$72,10,FALSE)*'Building Breakdown'!$H29*'Building Breakdown'!$I29/168</f>
        <v>0</v>
      </c>
      <c r="AF13" s="178">
        <f>T13*VLOOKUP("Hours",'Model Assumptions'!$B$50:$O$72,11,FALSE)*'Building Breakdown'!$H29*'Building Breakdown'!$I29/168</f>
        <v>0</v>
      </c>
      <c r="AG13" s="178">
        <f>U13*VLOOKUP("Hours",'Model Assumptions'!$B$50:$O$72,12,FALSE)*'Building Breakdown'!$H29*'Building Breakdown'!$I29/168</f>
        <v>0</v>
      </c>
      <c r="AH13" s="179">
        <f>V13*VLOOKUP("Hours",'Model Assumptions'!$B$50:$O$72,13,FALSE)*'Building Breakdown'!$H29*'Building Breakdown'!$I29/168</f>
        <v>0</v>
      </c>
      <c r="AI13" s="234">
        <f t="shared" si="2"/>
        <v>0</v>
      </c>
      <c r="AJ13" s="234">
        <f>'Building Breakdown'!AW29</f>
        <v>0</v>
      </c>
      <c r="AK13" s="234">
        <f t="shared" si="6"/>
        <v>0</v>
      </c>
      <c r="AL13" s="235">
        <f>IF(EXACT('Fabric Changes'!C13,"Yes"),IF('Building Breakdown'!$D$5="High_Security",(HLOOKUP(G13,'Model Assumptions'!$C$43:$E$45,3,FALSE)*'Building Breakdown'!S29),(HLOOKUP(G13,'Model Assumptions'!$C$43:$E$45,2,FALSE)*'Building Breakdown'!S29)),0)</f>
        <v>0</v>
      </c>
      <c r="AM13" s="236">
        <f>IF(EXACT('Fabric Changes'!D13,"Yes"),IF('Building Breakdown'!$D$5="High_Security",('Model Assumptions'!$G$45*'Building Breakdown'!T29),('Model Assumptions'!$G$44*'Building Breakdown'!T29)),0)</f>
        <v>0</v>
      </c>
      <c r="AN13" s="237">
        <f>IF(EXACT('Fabric Changes'!E13,"Yes"),IF('Building Breakdown'!$D$5="High_Security",(HLOOKUP(F13,'Model Assumptions'!C$43:K$45,3,FALSE)*'Building Breakdown'!U29),(HLOOKUP(F13,'Model Assumptions'!C$43:K$45,2,FALSE)*'Building Breakdown'!U29)),0)</f>
        <v>0</v>
      </c>
      <c r="AO13" s="238">
        <f t="shared" si="3"/>
        <v>0</v>
      </c>
      <c r="AP13" s="238">
        <f>IF('Building Breakdown'!$F29='Fabric Changes'!$AP$6,$AK13*'Building Breakdown'!$D$8,0)</f>
        <v>0</v>
      </c>
      <c r="AQ13" s="285">
        <f t="shared" si="1"/>
        <v>0</v>
      </c>
      <c r="AR13" s="287">
        <f>IF($AP13=0,0,$AK13*VLOOKUP('Building Breakdown'!$E$8,'Emission factors'!$C$4:$D$8,2,FALSE))</f>
        <v>0</v>
      </c>
      <c r="AS13" s="238">
        <f>IF('Building Breakdown'!$F29='Fabric Changes'!$AS$6,$AK13*'Building Breakdown'!$D$9,0)</f>
        <v>0</v>
      </c>
      <c r="AT13" s="285">
        <f t="shared" si="4"/>
        <v>0</v>
      </c>
      <c r="AU13" s="287">
        <f>IF($AS13=0,0,$AK13*VLOOKUP('Building Breakdown'!$E$9,'Emission factors'!$C$4:$D$8,2,FALSE))</f>
        <v>0</v>
      </c>
      <c r="AV13" s="238">
        <f>IF('Building Breakdown'!$F29='Fabric Changes'!$AV$6,$AK13*'Building Breakdown'!$D$10,0)</f>
        <v>0</v>
      </c>
      <c r="AW13" s="285">
        <f t="shared" si="5"/>
        <v>0</v>
      </c>
      <c r="AX13" s="287">
        <f>IF($AV13=0,0,$AK13*VLOOKUP('Building Breakdown'!$E$10,'Emission factors'!$C$4:$D$8,2,FALSE))</f>
        <v>0</v>
      </c>
      <c r="AY13" s="169"/>
    </row>
    <row r="14" spans="2:51" x14ac:dyDescent="0.3">
      <c r="B14" s="226" t="str">
        <f>IF('Building Breakdown'!C30="","",'Building Breakdown'!C30)</f>
        <v/>
      </c>
      <c r="C14" s="106"/>
      <c r="D14" s="106"/>
      <c r="E14" s="106"/>
      <c r="F14" s="106"/>
      <c r="G14" s="106"/>
      <c r="H14" s="177">
        <f>MIN(IF(EXACT('Fabric Changes'!C14,"Yes"),'Model Assumptions'!$B$21,'Building Breakdown'!V30),'Building Breakdown'!V30)</f>
        <v>0</v>
      </c>
      <c r="I14" s="178">
        <f>MIN(IF(EXACT('Fabric Changes'!D14,"Yes"),'Model Assumptions'!$D$21,'Building Breakdown'!W30),'Building Breakdown'!W30)</f>
        <v>0</v>
      </c>
      <c r="J14" s="182">
        <f>MIN(IF(EXACT('Fabric Changes'!E14,"Yes"),'Model Assumptions'!$E$21,'Building Breakdown'!X30),'Building Breakdown'!X30)</f>
        <v>0</v>
      </c>
      <c r="K14" s="177">
        <f>(((('Building Breakdown'!$S30*$H14)+('Building Breakdown'!$T30*$I14)+('Building Breakdown'!$U30*$J14))*('Building Breakdown'!$G30-(VLOOKUP('Building Breakdown'!$D$7,'Model Assumptions'!$B$50:$O$72,2,FALSE))))/1000)*'Building Breakdown'!$E30</f>
        <v>0</v>
      </c>
      <c r="L14" s="178">
        <f>(((('Building Breakdown'!$S30*$H14)+('Building Breakdown'!$T30*$I14)+('Building Breakdown'!$U30*$J14))*('Building Breakdown'!$G30-(VLOOKUP('Building Breakdown'!$D$7,'Model Assumptions'!$B$50:$O$72,3,FALSE))))/1000)*'Building Breakdown'!$E30</f>
        <v>0</v>
      </c>
      <c r="M14" s="178">
        <f>(((('Building Breakdown'!$S30*$H14)+('Building Breakdown'!$T30*$I14)+('Building Breakdown'!$U30*$J14))*('Building Breakdown'!$G30-(VLOOKUP('Building Breakdown'!$D$7,'Model Assumptions'!$B$50:$O$72,4,FALSE))))/1000)*'Building Breakdown'!$E30</f>
        <v>0</v>
      </c>
      <c r="N14" s="178">
        <f>(((('Building Breakdown'!$S30*$H14)+('Building Breakdown'!$T30*$I14)+('Building Breakdown'!$U30*$J14))*('Building Breakdown'!$G30-(VLOOKUP('Building Breakdown'!$D$7,'Model Assumptions'!$B$50:$O$72,5,FALSE))))/1000)*'Building Breakdown'!$E30</f>
        <v>0</v>
      </c>
      <c r="O14" s="178">
        <f>(((('Building Breakdown'!$S30*$H14)+('Building Breakdown'!$T30*$I14)+('Building Breakdown'!$U30*$J14))*('Building Breakdown'!$G30-(VLOOKUP('Building Breakdown'!$D$7,'Model Assumptions'!$B$50:$O$72,6,FALSE))))/1000)*'Building Breakdown'!$E30</f>
        <v>0</v>
      </c>
      <c r="P14" s="178">
        <f>(((('Building Breakdown'!$S30*$H14)+('Building Breakdown'!$T30*$I14)+('Building Breakdown'!$U30*$J14))*('Building Breakdown'!$G30-(VLOOKUP('Building Breakdown'!$D$7,'Model Assumptions'!$B$50:$O$72,7,FALSE))))/1000)*'Building Breakdown'!$E30</f>
        <v>0</v>
      </c>
      <c r="Q14" s="178">
        <f>(((('Building Breakdown'!$S30*$H14)+('Building Breakdown'!$T30*$I14)+('Building Breakdown'!$U30*$J14))*('Building Breakdown'!$G30-(VLOOKUP('Building Breakdown'!$D$7,'Model Assumptions'!$B$50:$O$72,8,FALSE))))/1000)*'Building Breakdown'!$E30</f>
        <v>0</v>
      </c>
      <c r="R14" s="178">
        <f>(((('Building Breakdown'!$S30*$H14)+('Building Breakdown'!$T30*$I14)+('Building Breakdown'!$U30*$J14))*('Building Breakdown'!$G30-(VLOOKUP('Building Breakdown'!$D$7,'Model Assumptions'!$B$50:$O$72,9,FALSE))))/1000)*'Building Breakdown'!$E30</f>
        <v>0</v>
      </c>
      <c r="S14" s="178">
        <f>(((('Building Breakdown'!$S30*$H14)+('Building Breakdown'!$T30*$I14)+('Building Breakdown'!$U30*$J14))*('Building Breakdown'!$G30-(VLOOKUP('Building Breakdown'!$D$7,'Model Assumptions'!$B$50:$O$72,10,FALSE))))/1000)*'Building Breakdown'!$E30</f>
        <v>0</v>
      </c>
      <c r="T14" s="178">
        <f>(((('Building Breakdown'!$S30*$H14)+('Building Breakdown'!$T30*$I14)+('Building Breakdown'!$U30*$J14))*('Building Breakdown'!$G30-(VLOOKUP('Building Breakdown'!$D$7,'Model Assumptions'!$B$50:$O$72,11,FALSE))))/1000)*'Building Breakdown'!$E30</f>
        <v>0</v>
      </c>
      <c r="U14" s="178">
        <f>(((('Building Breakdown'!$S30*$H14)+('Building Breakdown'!$T30*$I14)+('Building Breakdown'!$U30*$J14))*('Building Breakdown'!$G30-(VLOOKUP('Building Breakdown'!$D$7,'Model Assumptions'!$B$50:$O$72,12,FALSE))))/1000)*'Building Breakdown'!$E30</f>
        <v>0</v>
      </c>
      <c r="V14" s="179">
        <f>(((('Building Breakdown'!$S30*$H14)+('Building Breakdown'!$T30*$I14)+('Building Breakdown'!$U30*$J14))*('Building Breakdown'!$G30-(VLOOKUP('Building Breakdown'!$D$7,'Model Assumptions'!$B$50:$O$72,13,FALSE))))/1000)*'Building Breakdown'!$E30</f>
        <v>0</v>
      </c>
      <c r="W14" s="177">
        <f>K14*VLOOKUP("Hours",'Model Assumptions'!$B$50:$O$72,2,FALSE)*'Building Breakdown'!$H30*'Building Breakdown'!$I30/168</f>
        <v>0</v>
      </c>
      <c r="X14" s="178">
        <f>L14*VLOOKUP("Hours",'Model Assumptions'!$B$50:$O$72,3,FALSE)*'Building Breakdown'!$H30*'Building Breakdown'!$I30/168</f>
        <v>0</v>
      </c>
      <c r="Y14" s="178">
        <f>M14*VLOOKUP("Hours",'Model Assumptions'!$B$50:$O$72,4,FALSE)*'Building Breakdown'!$H30*'Building Breakdown'!$I30/168</f>
        <v>0</v>
      </c>
      <c r="Z14" s="178">
        <f>N14*VLOOKUP("Hours",'Model Assumptions'!$B$50:$O$72,5,FALSE)*'Building Breakdown'!$H30*'Building Breakdown'!$I30/168</f>
        <v>0</v>
      </c>
      <c r="AA14" s="178">
        <f>O14*VLOOKUP("Hours",'Model Assumptions'!$B$50:$O$72,6,FALSE)*'Building Breakdown'!$H30*'Building Breakdown'!$I30/168</f>
        <v>0</v>
      </c>
      <c r="AB14" s="178">
        <f>P14*VLOOKUP("Hours",'Model Assumptions'!$B$50:$O$72,7,FALSE)*'Building Breakdown'!$H30*'Building Breakdown'!$I30/168</f>
        <v>0</v>
      </c>
      <c r="AC14" s="178">
        <f>Q14*VLOOKUP("Hours",'Model Assumptions'!$B$50:$O$72,8,FALSE)*'Building Breakdown'!$H30*'Building Breakdown'!$I30/168</f>
        <v>0</v>
      </c>
      <c r="AD14" s="178">
        <f>R14*VLOOKUP("Hours",'Model Assumptions'!$B$50:$O$72,9,FALSE)*'Building Breakdown'!$H30*'Building Breakdown'!$I30/168</f>
        <v>0</v>
      </c>
      <c r="AE14" s="178">
        <f>S14*VLOOKUP("Hours",'Model Assumptions'!$B$50:$O$72,10,FALSE)*'Building Breakdown'!$H30*'Building Breakdown'!$I30/168</f>
        <v>0</v>
      </c>
      <c r="AF14" s="178">
        <f>T14*VLOOKUP("Hours",'Model Assumptions'!$B$50:$O$72,11,FALSE)*'Building Breakdown'!$H30*'Building Breakdown'!$I30/168</f>
        <v>0</v>
      </c>
      <c r="AG14" s="178">
        <f>U14*VLOOKUP("Hours",'Model Assumptions'!$B$50:$O$72,12,FALSE)*'Building Breakdown'!$H30*'Building Breakdown'!$I30/168</f>
        <v>0</v>
      </c>
      <c r="AH14" s="179">
        <f>V14*VLOOKUP("Hours",'Model Assumptions'!$B$50:$O$72,13,FALSE)*'Building Breakdown'!$H30*'Building Breakdown'!$I30/168</f>
        <v>0</v>
      </c>
      <c r="AI14" s="234">
        <f>SUM(W14:AH14)</f>
        <v>0</v>
      </c>
      <c r="AJ14" s="234">
        <f>'Building Breakdown'!AW30</f>
        <v>0</v>
      </c>
      <c r="AK14" s="234">
        <f t="shared" si="6"/>
        <v>0</v>
      </c>
      <c r="AL14" s="235">
        <f>IF(EXACT('Fabric Changes'!C14,"Yes"),IF('Building Breakdown'!$D$5="High_Security",(HLOOKUP(G14,'Model Assumptions'!$C$43:$E$45,3,FALSE)*'Building Breakdown'!S30),(HLOOKUP(G14,'Model Assumptions'!$C$43:$E$45,2,FALSE)*'Building Breakdown'!S30)),0)</f>
        <v>0</v>
      </c>
      <c r="AM14" s="236">
        <f>IF(EXACT('Fabric Changes'!D14,"Yes"),IF('Building Breakdown'!$D$5="High_Security",('Model Assumptions'!$G$45*'Building Breakdown'!T30),('Model Assumptions'!$G$44*'Building Breakdown'!T30)),0)</f>
        <v>0</v>
      </c>
      <c r="AN14" s="237">
        <f>IF(EXACT('Fabric Changes'!E14,"Yes"),IF('Building Breakdown'!$D$5="High_Security",(HLOOKUP(F14,'Model Assumptions'!C$43:K$45,3,FALSE)*'Building Breakdown'!U30),(HLOOKUP(F14,'Model Assumptions'!C$43:K$45,2,FALSE)*'Building Breakdown'!U30)),0)</f>
        <v>0</v>
      </c>
      <c r="AO14" s="238">
        <f t="shared" si="3"/>
        <v>0</v>
      </c>
      <c r="AP14" s="238">
        <f>IF('Building Breakdown'!$F30='Fabric Changes'!$AP$6,$AK14*'Building Breakdown'!$D$8,0)</f>
        <v>0</v>
      </c>
      <c r="AQ14" s="285">
        <f t="shared" si="1"/>
        <v>0</v>
      </c>
      <c r="AR14" s="287">
        <f>IF($AP14=0,0,$AK14*VLOOKUP('Building Breakdown'!$E$8,'Emission factors'!$C$4:$D$8,2,FALSE))</f>
        <v>0</v>
      </c>
      <c r="AS14" s="238">
        <f>IF('Building Breakdown'!$F30='Fabric Changes'!$AS$6,$AK14*'Building Breakdown'!$D$9,0)</f>
        <v>0</v>
      </c>
      <c r="AT14" s="285">
        <f t="shared" si="4"/>
        <v>0</v>
      </c>
      <c r="AU14" s="287">
        <f>IF($AS14=0,0,$AK14*VLOOKUP('Building Breakdown'!$E$9,'Emission factors'!$C$4:$D$8,2,FALSE))</f>
        <v>0</v>
      </c>
      <c r="AV14" s="238">
        <f>IF('Building Breakdown'!$F30='Fabric Changes'!$AV$6,$AK14*'Building Breakdown'!$D$10,0)</f>
        <v>0</v>
      </c>
      <c r="AW14" s="285">
        <f t="shared" si="5"/>
        <v>0</v>
      </c>
      <c r="AX14" s="287">
        <f>IF($AV14=0,0,$AK14*VLOOKUP('Building Breakdown'!$E$10,'Emission factors'!$C$4:$D$8,2,FALSE))</f>
        <v>0</v>
      </c>
      <c r="AY14" s="169"/>
    </row>
    <row r="15" spans="2:51" x14ac:dyDescent="0.3">
      <c r="B15" s="226" t="str">
        <f>IF('Building Breakdown'!C31="","",'Building Breakdown'!C31)</f>
        <v/>
      </c>
      <c r="C15" s="106"/>
      <c r="D15" s="106"/>
      <c r="E15" s="106"/>
      <c r="F15" s="106"/>
      <c r="G15" s="106"/>
      <c r="H15" s="177">
        <f>MIN(IF(EXACT('Fabric Changes'!C15,"Yes"),'Model Assumptions'!$B$21,'Building Breakdown'!V31),'Building Breakdown'!V31)</f>
        <v>0</v>
      </c>
      <c r="I15" s="178">
        <f>MIN(IF(EXACT('Fabric Changes'!D15,"Yes"),'Model Assumptions'!$D$21,'Building Breakdown'!W31),'Building Breakdown'!W31)</f>
        <v>0</v>
      </c>
      <c r="J15" s="182">
        <f>MIN(IF(EXACT('Fabric Changes'!E15,"Yes"),'Model Assumptions'!$E$21,'Building Breakdown'!X31),'Building Breakdown'!X31)</f>
        <v>0</v>
      </c>
      <c r="K15" s="177">
        <f>(((('Building Breakdown'!$S31*$H15)+('Building Breakdown'!$T31*$I15)+('Building Breakdown'!$U31*$J15))*('Building Breakdown'!$G31-(VLOOKUP('Building Breakdown'!$D$7,'Model Assumptions'!$B$50:$O$72,2,FALSE))))/1000)*'Building Breakdown'!$E31</f>
        <v>0</v>
      </c>
      <c r="L15" s="178">
        <f>(((('Building Breakdown'!$S31*$H15)+('Building Breakdown'!$T31*$I15)+('Building Breakdown'!$U31*$J15))*('Building Breakdown'!$G31-(VLOOKUP('Building Breakdown'!$D$7,'Model Assumptions'!$B$50:$O$72,3,FALSE))))/1000)*'Building Breakdown'!$E31</f>
        <v>0</v>
      </c>
      <c r="M15" s="178">
        <f>(((('Building Breakdown'!$S31*$H15)+('Building Breakdown'!$T31*$I15)+('Building Breakdown'!$U31*$J15))*('Building Breakdown'!$G31-(VLOOKUP('Building Breakdown'!$D$7,'Model Assumptions'!$B$50:$O$72,4,FALSE))))/1000)*'Building Breakdown'!$E31</f>
        <v>0</v>
      </c>
      <c r="N15" s="178">
        <f>(((('Building Breakdown'!$S31*$H15)+('Building Breakdown'!$T31*$I15)+('Building Breakdown'!$U31*$J15))*('Building Breakdown'!$G31-(VLOOKUP('Building Breakdown'!$D$7,'Model Assumptions'!$B$50:$O$72,5,FALSE))))/1000)*'Building Breakdown'!$E31</f>
        <v>0</v>
      </c>
      <c r="O15" s="178">
        <f>(((('Building Breakdown'!$S31*$H15)+('Building Breakdown'!$T31*$I15)+('Building Breakdown'!$U31*$J15))*('Building Breakdown'!$G31-(VLOOKUP('Building Breakdown'!$D$7,'Model Assumptions'!$B$50:$O$72,6,FALSE))))/1000)*'Building Breakdown'!$E31</f>
        <v>0</v>
      </c>
      <c r="P15" s="178">
        <f>(((('Building Breakdown'!$S31*$H15)+('Building Breakdown'!$T31*$I15)+('Building Breakdown'!$U31*$J15))*('Building Breakdown'!$G31-(VLOOKUP('Building Breakdown'!$D$7,'Model Assumptions'!$B$50:$O$72,7,FALSE))))/1000)*'Building Breakdown'!$E31</f>
        <v>0</v>
      </c>
      <c r="Q15" s="178">
        <f>(((('Building Breakdown'!$S31*$H15)+('Building Breakdown'!$T31*$I15)+('Building Breakdown'!$U31*$J15))*('Building Breakdown'!$G31-(VLOOKUP('Building Breakdown'!$D$7,'Model Assumptions'!$B$50:$O$72,8,FALSE))))/1000)*'Building Breakdown'!$E31</f>
        <v>0</v>
      </c>
      <c r="R15" s="178">
        <f>(((('Building Breakdown'!$S31*$H15)+('Building Breakdown'!$T31*$I15)+('Building Breakdown'!$U31*$J15))*('Building Breakdown'!$G31-(VLOOKUP('Building Breakdown'!$D$7,'Model Assumptions'!$B$50:$O$72,9,FALSE))))/1000)*'Building Breakdown'!$E31</f>
        <v>0</v>
      </c>
      <c r="S15" s="178">
        <f>(((('Building Breakdown'!$S31*$H15)+('Building Breakdown'!$T31*$I15)+('Building Breakdown'!$U31*$J15))*('Building Breakdown'!$G31-(VLOOKUP('Building Breakdown'!$D$7,'Model Assumptions'!$B$50:$O$72,10,FALSE))))/1000)*'Building Breakdown'!$E31</f>
        <v>0</v>
      </c>
      <c r="T15" s="178">
        <f>(((('Building Breakdown'!$S31*$H15)+('Building Breakdown'!$T31*$I15)+('Building Breakdown'!$U31*$J15))*('Building Breakdown'!$G31-(VLOOKUP('Building Breakdown'!$D$7,'Model Assumptions'!$B$50:$O$72,11,FALSE))))/1000)*'Building Breakdown'!$E31</f>
        <v>0</v>
      </c>
      <c r="U15" s="178">
        <f>(((('Building Breakdown'!$S31*$H15)+('Building Breakdown'!$T31*$I15)+('Building Breakdown'!$U31*$J15))*('Building Breakdown'!$G31-(VLOOKUP('Building Breakdown'!$D$7,'Model Assumptions'!$B$50:$O$72,12,FALSE))))/1000)*'Building Breakdown'!$E31</f>
        <v>0</v>
      </c>
      <c r="V15" s="179">
        <f>(((('Building Breakdown'!$S31*$H15)+('Building Breakdown'!$T31*$I15)+('Building Breakdown'!$U31*$J15))*('Building Breakdown'!$G31-(VLOOKUP('Building Breakdown'!$D$7,'Model Assumptions'!$B$50:$O$72,13,FALSE))))/1000)*'Building Breakdown'!$E31</f>
        <v>0</v>
      </c>
      <c r="W15" s="177">
        <f>K15*VLOOKUP("Hours",'Model Assumptions'!$B$50:$O$72,2,FALSE)*'Building Breakdown'!$H31*'Building Breakdown'!$I31/168</f>
        <v>0</v>
      </c>
      <c r="X15" s="178">
        <f>L15*VLOOKUP("Hours",'Model Assumptions'!$B$50:$O$72,3,FALSE)*'Building Breakdown'!$H31*'Building Breakdown'!$I31/168</f>
        <v>0</v>
      </c>
      <c r="Y15" s="178">
        <f>M15*VLOOKUP("Hours",'Model Assumptions'!$B$50:$O$72,4,FALSE)*'Building Breakdown'!$H31*'Building Breakdown'!$I31/168</f>
        <v>0</v>
      </c>
      <c r="Z15" s="178">
        <f>N15*VLOOKUP("Hours",'Model Assumptions'!$B$50:$O$72,5,FALSE)*'Building Breakdown'!$H31*'Building Breakdown'!$I31/168</f>
        <v>0</v>
      </c>
      <c r="AA15" s="178">
        <f>O15*VLOOKUP("Hours",'Model Assumptions'!$B$50:$O$72,6,FALSE)*'Building Breakdown'!$H31*'Building Breakdown'!$I31/168</f>
        <v>0</v>
      </c>
      <c r="AB15" s="178">
        <f>P15*VLOOKUP("Hours",'Model Assumptions'!$B$50:$O$72,7,FALSE)*'Building Breakdown'!$H31*'Building Breakdown'!$I31/168</f>
        <v>0</v>
      </c>
      <c r="AC15" s="178">
        <f>Q15*VLOOKUP("Hours",'Model Assumptions'!$B$50:$O$72,8,FALSE)*'Building Breakdown'!$H31*'Building Breakdown'!$I31/168</f>
        <v>0</v>
      </c>
      <c r="AD15" s="178">
        <f>R15*VLOOKUP("Hours",'Model Assumptions'!$B$50:$O$72,9,FALSE)*'Building Breakdown'!$H31*'Building Breakdown'!$I31/168</f>
        <v>0</v>
      </c>
      <c r="AE15" s="178">
        <f>S15*VLOOKUP("Hours",'Model Assumptions'!$B$50:$O$72,10,FALSE)*'Building Breakdown'!$H31*'Building Breakdown'!$I31/168</f>
        <v>0</v>
      </c>
      <c r="AF15" s="178">
        <f>T15*VLOOKUP("Hours",'Model Assumptions'!$B$50:$O$72,11,FALSE)*'Building Breakdown'!$H31*'Building Breakdown'!$I31/168</f>
        <v>0</v>
      </c>
      <c r="AG15" s="178">
        <f>U15*VLOOKUP("Hours",'Model Assumptions'!$B$50:$O$72,12,FALSE)*'Building Breakdown'!$H31*'Building Breakdown'!$I31/168</f>
        <v>0</v>
      </c>
      <c r="AH15" s="179">
        <f>V15*VLOOKUP("Hours",'Model Assumptions'!$B$50:$O$72,13,FALSE)*'Building Breakdown'!$H31*'Building Breakdown'!$I31/168</f>
        <v>0</v>
      </c>
      <c r="AI15" s="234">
        <f t="shared" ref="AI15:AI41" si="7">SUM(W15:AH15)</f>
        <v>0</v>
      </c>
      <c r="AJ15" s="234">
        <f>'Building Breakdown'!AW31</f>
        <v>0</v>
      </c>
      <c r="AK15" s="234">
        <f t="shared" si="6"/>
        <v>0</v>
      </c>
      <c r="AL15" s="235">
        <f>IF(EXACT('Fabric Changes'!C15,"Yes"),IF('Building Breakdown'!$D$5="High_Security",(HLOOKUP(G15,'Model Assumptions'!$C$43:$E$45,3,FALSE)*'Building Breakdown'!S31),(HLOOKUP(G15,'Model Assumptions'!$C$43:$E$45,2,FALSE)*'Building Breakdown'!S31)),0)</f>
        <v>0</v>
      </c>
      <c r="AM15" s="236">
        <f>IF(EXACT('Fabric Changes'!D15,"Yes"),IF('Building Breakdown'!$D$5="High_Security",('Model Assumptions'!$G$45*'Building Breakdown'!T31),('Model Assumptions'!$G$44*'Building Breakdown'!T31)),0)</f>
        <v>0</v>
      </c>
      <c r="AN15" s="237">
        <f>IF(EXACT('Fabric Changes'!E15,"Yes"),IF('Building Breakdown'!$D$5="High_Security",(HLOOKUP(F15,'Model Assumptions'!C$43:K$45,3,FALSE)*'Building Breakdown'!U31),(HLOOKUP(F15,'Model Assumptions'!C$43:K$45,2,FALSE)*'Building Breakdown'!U31)),0)</f>
        <v>0</v>
      </c>
      <c r="AO15" s="238">
        <f t="shared" ref="AO15:AO41" si="8">SUM(AL15:AN15)</f>
        <v>0</v>
      </c>
      <c r="AP15" s="238">
        <f>IF('Building Breakdown'!$F31='Fabric Changes'!$AP$6,$AK15*'Building Breakdown'!$D$8,0)</f>
        <v>0</v>
      </c>
      <c r="AQ15" s="285">
        <f t="shared" ref="AQ15:AQ41" si="9">IFERROR($AO15/AP15,0)</f>
        <v>0</v>
      </c>
      <c r="AR15" s="287">
        <f>IF($AP15=0,0,$AK15*VLOOKUP('Building Breakdown'!$E$8,'Emission factors'!$C$4:$D$8,2,FALSE))</f>
        <v>0</v>
      </c>
      <c r="AS15" s="238">
        <f>IF('Building Breakdown'!$F31='Fabric Changes'!$AS$6,$AK15*'Building Breakdown'!$D$9,0)</f>
        <v>0</v>
      </c>
      <c r="AT15" s="285">
        <f t="shared" ref="AT15:AT41" si="10">IFERROR($AO15/AS15,0)</f>
        <v>0</v>
      </c>
      <c r="AU15" s="287">
        <f>IF($AS15=0,0,$AK15*VLOOKUP('Building Breakdown'!$E$9,'Emission factors'!$C$4:$D$8,2,FALSE))</f>
        <v>0</v>
      </c>
      <c r="AV15" s="238">
        <f>IF('Building Breakdown'!$F31='Fabric Changes'!$AV$6,$AK15*'Building Breakdown'!$D$10,0)</f>
        <v>0</v>
      </c>
      <c r="AW15" s="285">
        <f t="shared" si="5"/>
        <v>0</v>
      </c>
      <c r="AX15" s="287">
        <f>IF($AV15=0,0,$AK15*VLOOKUP('Building Breakdown'!$E$10,'Emission factors'!$C$4:$D$8,2,FALSE))</f>
        <v>0</v>
      </c>
      <c r="AY15" s="169"/>
    </row>
    <row r="16" spans="2:51" x14ac:dyDescent="0.3">
      <c r="B16" s="226" t="str">
        <f>IF('Building Breakdown'!C32="","",'Building Breakdown'!C32)</f>
        <v/>
      </c>
      <c r="C16" s="106"/>
      <c r="D16" s="106"/>
      <c r="E16" s="106"/>
      <c r="F16" s="106"/>
      <c r="G16" s="106"/>
      <c r="H16" s="177">
        <f>MIN(IF(EXACT('Fabric Changes'!C16,"Yes"),'Model Assumptions'!$B$21,'Building Breakdown'!V32),'Building Breakdown'!V32)</f>
        <v>0</v>
      </c>
      <c r="I16" s="178">
        <f>MIN(IF(EXACT('Fabric Changes'!D16,"Yes"),'Model Assumptions'!$D$21,'Building Breakdown'!W32),'Building Breakdown'!W32)</f>
        <v>0</v>
      </c>
      <c r="J16" s="182">
        <f>MIN(IF(EXACT('Fabric Changes'!E16,"Yes"),'Model Assumptions'!$E$21,'Building Breakdown'!X32),'Building Breakdown'!X32)</f>
        <v>0</v>
      </c>
      <c r="K16" s="177">
        <f>(((('Building Breakdown'!$S32*$H16)+('Building Breakdown'!$T32*$I16)+('Building Breakdown'!$U32*$J16))*('Building Breakdown'!$G32-(VLOOKUP('Building Breakdown'!$D$7,'Model Assumptions'!$B$50:$O$72,2,FALSE))))/1000)*'Building Breakdown'!$E32</f>
        <v>0</v>
      </c>
      <c r="L16" s="178">
        <f>(((('Building Breakdown'!$S32*$H16)+('Building Breakdown'!$T32*$I16)+('Building Breakdown'!$U32*$J16))*('Building Breakdown'!$G32-(VLOOKUP('Building Breakdown'!$D$7,'Model Assumptions'!$B$50:$O$72,3,FALSE))))/1000)*'Building Breakdown'!$E32</f>
        <v>0</v>
      </c>
      <c r="M16" s="178">
        <f>(((('Building Breakdown'!$S32*$H16)+('Building Breakdown'!$T32*$I16)+('Building Breakdown'!$U32*$J16))*('Building Breakdown'!$G32-(VLOOKUP('Building Breakdown'!$D$7,'Model Assumptions'!$B$50:$O$72,4,FALSE))))/1000)*'Building Breakdown'!$E32</f>
        <v>0</v>
      </c>
      <c r="N16" s="178">
        <f>(((('Building Breakdown'!$S32*$H16)+('Building Breakdown'!$T32*$I16)+('Building Breakdown'!$U32*$J16))*('Building Breakdown'!$G32-(VLOOKUP('Building Breakdown'!$D$7,'Model Assumptions'!$B$50:$O$72,5,FALSE))))/1000)*'Building Breakdown'!$E32</f>
        <v>0</v>
      </c>
      <c r="O16" s="178">
        <f>(((('Building Breakdown'!$S32*$H16)+('Building Breakdown'!$T32*$I16)+('Building Breakdown'!$U32*$J16))*('Building Breakdown'!$G32-(VLOOKUP('Building Breakdown'!$D$7,'Model Assumptions'!$B$50:$O$72,6,FALSE))))/1000)*'Building Breakdown'!$E32</f>
        <v>0</v>
      </c>
      <c r="P16" s="178">
        <f>(((('Building Breakdown'!$S32*$H16)+('Building Breakdown'!$T32*$I16)+('Building Breakdown'!$U32*$J16))*('Building Breakdown'!$G32-(VLOOKUP('Building Breakdown'!$D$7,'Model Assumptions'!$B$50:$O$72,7,FALSE))))/1000)*'Building Breakdown'!$E32</f>
        <v>0</v>
      </c>
      <c r="Q16" s="178">
        <f>(((('Building Breakdown'!$S32*$H16)+('Building Breakdown'!$T32*$I16)+('Building Breakdown'!$U32*$J16))*('Building Breakdown'!$G32-(VLOOKUP('Building Breakdown'!$D$7,'Model Assumptions'!$B$50:$O$72,8,FALSE))))/1000)*'Building Breakdown'!$E32</f>
        <v>0</v>
      </c>
      <c r="R16" s="178">
        <f>(((('Building Breakdown'!$S32*$H16)+('Building Breakdown'!$T32*$I16)+('Building Breakdown'!$U32*$J16))*('Building Breakdown'!$G32-(VLOOKUP('Building Breakdown'!$D$7,'Model Assumptions'!$B$50:$O$72,9,FALSE))))/1000)*'Building Breakdown'!$E32</f>
        <v>0</v>
      </c>
      <c r="S16" s="178">
        <f>(((('Building Breakdown'!$S32*$H16)+('Building Breakdown'!$T32*$I16)+('Building Breakdown'!$U32*$J16))*('Building Breakdown'!$G32-(VLOOKUP('Building Breakdown'!$D$7,'Model Assumptions'!$B$50:$O$72,10,FALSE))))/1000)*'Building Breakdown'!$E32</f>
        <v>0</v>
      </c>
      <c r="T16" s="178">
        <f>(((('Building Breakdown'!$S32*$H16)+('Building Breakdown'!$T32*$I16)+('Building Breakdown'!$U32*$J16))*('Building Breakdown'!$G32-(VLOOKUP('Building Breakdown'!$D$7,'Model Assumptions'!$B$50:$O$72,11,FALSE))))/1000)*'Building Breakdown'!$E32</f>
        <v>0</v>
      </c>
      <c r="U16" s="178">
        <f>(((('Building Breakdown'!$S32*$H16)+('Building Breakdown'!$T32*$I16)+('Building Breakdown'!$U32*$J16))*('Building Breakdown'!$G32-(VLOOKUP('Building Breakdown'!$D$7,'Model Assumptions'!$B$50:$O$72,12,FALSE))))/1000)*'Building Breakdown'!$E32</f>
        <v>0</v>
      </c>
      <c r="V16" s="179">
        <f>(((('Building Breakdown'!$S32*$H16)+('Building Breakdown'!$T32*$I16)+('Building Breakdown'!$U32*$J16))*('Building Breakdown'!$G32-(VLOOKUP('Building Breakdown'!$D$7,'Model Assumptions'!$B$50:$O$72,13,FALSE))))/1000)*'Building Breakdown'!$E32</f>
        <v>0</v>
      </c>
      <c r="W16" s="177">
        <f>K16*VLOOKUP("Hours",'Model Assumptions'!$B$50:$O$72,2,FALSE)*'Building Breakdown'!$H32*'Building Breakdown'!$I32/168</f>
        <v>0</v>
      </c>
      <c r="X16" s="178">
        <f>L16*VLOOKUP("Hours",'Model Assumptions'!$B$50:$O$72,3,FALSE)*'Building Breakdown'!$H32*'Building Breakdown'!$I32/168</f>
        <v>0</v>
      </c>
      <c r="Y16" s="178">
        <f>M16*VLOOKUP("Hours",'Model Assumptions'!$B$50:$O$72,4,FALSE)*'Building Breakdown'!$H32*'Building Breakdown'!$I32/168</f>
        <v>0</v>
      </c>
      <c r="Z16" s="178">
        <f>N16*VLOOKUP("Hours",'Model Assumptions'!$B$50:$O$72,5,FALSE)*'Building Breakdown'!$H32*'Building Breakdown'!$I32/168</f>
        <v>0</v>
      </c>
      <c r="AA16" s="178">
        <f>O16*VLOOKUP("Hours",'Model Assumptions'!$B$50:$O$72,6,FALSE)*'Building Breakdown'!$H32*'Building Breakdown'!$I32/168</f>
        <v>0</v>
      </c>
      <c r="AB16" s="178">
        <f>P16*VLOOKUP("Hours",'Model Assumptions'!$B$50:$O$72,7,FALSE)*'Building Breakdown'!$H32*'Building Breakdown'!$I32/168</f>
        <v>0</v>
      </c>
      <c r="AC16" s="178">
        <f>Q16*VLOOKUP("Hours",'Model Assumptions'!$B$50:$O$72,8,FALSE)*'Building Breakdown'!$H32*'Building Breakdown'!$I32/168</f>
        <v>0</v>
      </c>
      <c r="AD16" s="178">
        <f>R16*VLOOKUP("Hours",'Model Assumptions'!$B$50:$O$72,9,FALSE)*'Building Breakdown'!$H32*'Building Breakdown'!$I32/168</f>
        <v>0</v>
      </c>
      <c r="AE16" s="178">
        <f>S16*VLOOKUP("Hours",'Model Assumptions'!$B$50:$O$72,10,FALSE)*'Building Breakdown'!$H32*'Building Breakdown'!$I32/168</f>
        <v>0</v>
      </c>
      <c r="AF16" s="178">
        <f>T16*VLOOKUP("Hours",'Model Assumptions'!$B$50:$O$72,11,FALSE)*'Building Breakdown'!$H32*'Building Breakdown'!$I32/168</f>
        <v>0</v>
      </c>
      <c r="AG16" s="178">
        <f>U16*VLOOKUP("Hours",'Model Assumptions'!$B$50:$O$72,12,FALSE)*'Building Breakdown'!$H32*'Building Breakdown'!$I32/168</f>
        <v>0</v>
      </c>
      <c r="AH16" s="179">
        <f>V16*VLOOKUP("Hours",'Model Assumptions'!$B$50:$O$72,13,FALSE)*'Building Breakdown'!$H32*'Building Breakdown'!$I32/168</f>
        <v>0</v>
      </c>
      <c r="AI16" s="234">
        <f t="shared" si="7"/>
        <v>0</v>
      </c>
      <c r="AJ16" s="234">
        <f>'Building Breakdown'!AW32</f>
        <v>0</v>
      </c>
      <c r="AK16" s="234">
        <f t="shared" si="6"/>
        <v>0</v>
      </c>
      <c r="AL16" s="235">
        <f>IF(EXACT('Fabric Changes'!C16,"Yes"),IF('Building Breakdown'!$D$5="High_Security",(HLOOKUP(G16,'Model Assumptions'!$C$43:$E$45,3,FALSE)*'Building Breakdown'!S32),(HLOOKUP(G16,'Model Assumptions'!$C$43:$E$45,2,FALSE)*'Building Breakdown'!S32)),0)</f>
        <v>0</v>
      </c>
      <c r="AM16" s="236">
        <f>IF(EXACT('Fabric Changes'!D16,"Yes"),IF('Building Breakdown'!$D$5="High_Security",('Model Assumptions'!$G$45*'Building Breakdown'!T32),('Model Assumptions'!$G$44*'Building Breakdown'!T32)),0)</f>
        <v>0</v>
      </c>
      <c r="AN16" s="237">
        <f>IF(EXACT('Fabric Changes'!E16,"Yes"),IF('Building Breakdown'!$D$5="High_Security",(HLOOKUP(F16,'Model Assumptions'!C$43:K$45,3,FALSE)*'Building Breakdown'!U32),(HLOOKUP(F16,'Model Assumptions'!C$43:K$45,2,FALSE)*'Building Breakdown'!U32)),0)</f>
        <v>0</v>
      </c>
      <c r="AO16" s="238">
        <f t="shared" si="8"/>
        <v>0</v>
      </c>
      <c r="AP16" s="238">
        <f>IF('Building Breakdown'!$F32='Fabric Changes'!$AP$6,$AK16*'Building Breakdown'!$D$8,0)</f>
        <v>0</v>
      </c>
      <c r="AQ16" s="285">
        <f t="shared" si="9"/>
        <v>0</v>
      </c>
      <c r="AR16" s="287">
        <f>IF($AP16=0,0,$AK16*VLOOKUP('Building Breakdown'!$E$8,'Emission factors'!$C$4:$D$8,2,FALSE))</f>
        <v>0</v>
      </c>
      <c r="AS16" s="238">
        <f>IF('Building Breakdown'!$F32='Fabric Changes'!$AS$6,$AK16*'Building Breakdown'!$D$9,0)</f>
        <v>0</v>
      </c>
      <c r="AT16" s="285">
        <f t="shared" si="10"/>
        <v>0</v>
      </c>
      <c r="AU16" s="287">
        <f>IF($AS16=0,0,$AK16*VLOOKUP('Building Breakdown'!$E$9,'Emission factors'!$C$4:$D$8,2,FALSE))</f>
        <v>0</v>
      </c>
      <c r="AV16" s="238">
        <f>IF('Building Breakdown'!$F32='Fabric Changes'!$AV$6,$AK16*'Building Breakdown'!$D$10,0)</f>
        <v>0</v>
      </c>
      <c r="AW16" s="285">
        <f t="shared" si="5"/>
        <v>0</v>
      </c>
      <c r="AX16" s="287">
        <f>IF($AV16=0,0,$AK16*VLOOKUP('Building Breakdown'!$E$10,'Emission factors'!$C$4:$D$8,2,FALSE))</f>
        <v>0</v>
      </c>
      <c r="AY16" s="169"/>
    </row>
    <row r="17" spans="2:51" x14ac:dyDescent="0.3">
      <c r="B17" s="226" t="str">
        <f>IF('Building Breakdown'!C33="","",'Building Breakdown'!C33)</f>
        <v/>
      </c>
      <c r="C17" s="106"/>
      <c r="D17" s="106"/>
      <c r="E17" s="106"/>
      <c r="F17" s="106"/>
      <c r="G17" s="106"/>
      <c r="H17" s="106">
        <f>MIN(IF(EXACT('Fabric Changes'!C17,"Yes"),'Model Assumptions'!$B$21,'Building Breakdown'!V33),'Building Breakdown'!V33)</f>
        <v>0</v>
      </c>
      <c r="I17" s="106">
        <f>MIN(IF(EXACT('Fabric Changes'!D17,"Yes"),'Model Assumptions'!$D$21,'Building Breakdown'!W33),'Building Breakdown'!W33)</f>
        <v>0</v>
      </c>
      <c r="J17" s="182">
        <f>MIN(IF(EXACT('Fabric Changes'!E17,"Yes"),'Model Assumptions'!$E$21,'Building Breakdown'!X33),'Building Breakdown'!X33)</f>
        <v>0</v>
      </c>
      <c r="K17" s="177">
        <f>(((('Building Breakdown'!$S33*$H17)+('Building Breakdown'!$T33*$I17)+('Building Breakdown'!$U33*$J17))*('Building Breakdown'!$G33-(VLOOKUP('Building Breakdown'!$D$7,'Model Assumptions'!$B$50:$O$72,2,FALSE))))/1000)*'Building Breakdown'!$E33</f>
        <v>0</v>
      </c>
      <c r="L17" s="178">
        <f>(((('Building Breakdown'!$S33*$H17)+('Building Breakdown'!$T33*$I17)+('Building Breakdown'!$U33*$J17))*('Building Breakdown'!$G33-(VLOOKUP('Building Breakdown'!$D$7,'Model Assumptions'!$B$50:$O$72,3,FALSE))))/1000)*'Building Breakdown'!$E33</f>
        <v>0</v>
      </c>
      <c r="M17" s="178">
        <f>(((('Building Breakdown'!$S33*$H17)+('Building Breakdown'!$T33*$I17)+('Building Breakdown'!$U33*$J17))*('Building Breakdown'!$G33-(VLOOKUP('Building Breakdown'!$D$7,'Model Assumptions'!$B$50:$O$72,4,FALSE))))/1000)*'Building Breakdown'!$E33</f>
        <v>0</v>
      </c>
      <c r="N17" s="178">
        <f>(((('Building Breakdown'!$S33*$H17)+('Building Breakdown'!$T33*$I17)+('Building Breakdown'!$U33*$J17))*('Building Breakdown'!$G33-(VLOOKUP('Building Breakdown'!$D$7,'Model Assumptions'!$B$50:$O$72,5,FALSE))))/1000)*'Building Breakdown'!$E33</f>
        <v>0</v>
      </c>
      <c r="O17" s="178">
        <f>(((('Building Breakdown'!$S33*$H17)+('Building Breakdown'!$T33*$I17)+('Building Breakdown'!$U33*$J17))*('Building Breakdown'!$G33-(VLOOKUP('Building Breakdown'!$D$7,'Model Assumptions'!$B$50:$O$72,6,FALSE))))/1000)*'Building Breakdown'!$E33</f>
        <v>0</v>
      </c>
      <c r="P17" s="178">
        <f>(((('Building Breakdown'!$S33*$H17)+('Building Breakdown'!$T33*$I17)+('Building Breakdown'!$U33*$J17))*('Building Breakdown'!$G33-(VLOOKUP('Building Breakdown'!$D$7,'Model Assumptions'!$B$50:$O$72,7,FALSE))))/1000)*'Building Breakdown'!$E33</f>
        <v>0</v>
      </c>
      <c r="Q17" s="178">
        <f>(((('Building Breakdown'!$S33*$H17)+('Building Breakdown'!$T33*$I17)+('Building Breakdown'!$U33*$J17))*('Building Breakdown'!$G33-(VLOOKUP('Building Breakdown'!$D$7,'Model Assumptions'!$B$50:$O$72,8,FALSE))))/1000)*'Building Breakdown'!$E33</f>
        <v>0</v>
      </c>
      <c r="R17" s="178">
        <f>(((('Building Breakdown'!$S33*$H17)+('Building Breakdown'!$T33*$I17)+('Building Breakdown'!$U33*$J17))*('Building Breakdown'!$G33-(VLOOKUP('Building Breakdown'!$D$7,'Model Assumptions'!$B$50:$O$72,9,FALSE))))/1000)*'Building Breakdown'!$E33</f>
        <v>0</v>
      </c>
      <c r="S17" s="178">
        <f>(((('Building Breakdown'!$S33*$H17)+('Building Breakdown'!$T33*$I17)+('Building Breakdown'!$U33*$J17))*('Building Breakdown'!$G33-(VLOOKUP('Building Breakdown'!$D$7,'Model Assumptions'!$B$50:$O$72,10,FALSE))))/1000)*'Building Breakdown'!$E33</f>
        <v>0</v>
      </c>
      <c r="T17" s="178">
        <f>(((('Building Breakdown'!$S33*$H17)+('Building Breakdown'!$T33*$I17)+('Building Breakdown'!$U33*$J17))*('Building Breakdown'!$G33-(VLOOKUP('Building Breakdown'!$D$7,'Model Assumptions'!$B$50:$O$72,11,FALSE))))/1000)*'Building Breakdown'!$E33</f>
        <v>0</v>
      </c>
      <c r="U17" s="178">
        <f>(((('Building Breakdown'!$S33*$H17)+('Building Breakdown'!$T33*$I17)+('Building Breakdown'!$U33*$J17))*('Building Breakdown'!$G33-(VLOOKUP('Building Breakdown'!$D$7,'Model Assumptions'!$B$50:$O$72,12,FALSE))))/1000)*'Building Breakdown'!$E33</f>
        <v>0</v>
      </c>
      <c r="V17" s="179">
        <f>(((('Building Breakdown'!$S33*$H17)+('Building Breakdown'!$T33*$I17)+('Building Breakdown'!$U33*$J17))*('Building Breakdown'!$G33-(VLOOKUP('Building Breakdown'!$D$7,'Model Assumptions'!$B$50:$O$72,13,FALSE))))/1000)*'Building Breakdown'!$E33</f>
        <v>0</v>
      </c>
      <c r="W17" s="177">
        <f>K17*VLOOKUP("Hours",'Model Assumptions'!$B$50:$O$72,2,FALSE)*'Building Breakdown'!$H33*'Building Breakdown'!$I33/168</f>
        <v>0</v>
      </c>
      <c r="X17" s="178">
        <f>L17*VLOOKUP("Hours",'Model Assumptions'!$B$50:$O$72,3,FALSE)*'Building Breakdown'!$H33*'Building Breakdown'!$I33/168</f>
        <v>0</v>
      </c>
      <c r="Y17" s="178">
        <f>M17*VLOOKUP("Hours",'Model Assumptions'!$B$50:$O$72,4,FALSE)*'Building Breakdown'!$H33*'Building Breakdown'!$I33/168</f>
        <v>0</v>
      </c>
      <c r="Z17" s="178">
        <f>N17*VLOOKUP("Hours",'Model Assumptions'!$B$50:$O$72,5,FALSE)*'Building Breakdown'!$H33*'Building Breakdown'!$I33/168</f>
        <v>0</v>
      </c>
      <c r="AA17" s="178">
        <f>O17*VLOOKUP("Hours",'Model Assumptions'!$B$50:$O$72,6,FALSE)*'Building Breakdown'!$H33*'Building Breakdown'!$I33/168</f>
        <v>0</v>
      </c>
      <c r="AB17" s="178">
        <f>P17*VLOOKUP("Hours",'Model Assumptions'!$B$50:$O$72,7,FALSE)*'Building Breakdown'!$H33*'Building Breakdown'!$I33/168</f>
        <v>0</v>
      </c>
      <c r="AC17" s="178">
        <f>Q17*VLOOKUP("Hours",'Model Assumptions'!$B$50:$O$72,8,FALSE)*'Building Breakdown'!$H33*'Building Breakdown'!$I33/168</f>
        <v>0</v>
      </c>
      <c r="AD17" s="178">
        <f>R17*VLOOKUP("Hours",'Model Assumptions'!$B$50:$O$72,9,FALSE)*'Building Breakdown'!$H33*'Building Breakdown'!$I33/168</f>
        <v>0</v>
      </c>
      <c r="AE17" s="178">
        <f>S17*VLOOKUP("Hours",'Model Assumptions'!$B$50:$O$72,10,FALSE)*'Building Breakdown'!$H33*'Building Breakdown'!$I33/168</f>
        <v>0</v>
      </c>
      <c r="AF17" s="178">
        <f>T17*VLOOKUP("Hours",'Model Assumptions'!$B$50:$O$72,11,FALSE)*'Building Breakdown'!$H33*'Building Breakdown'!$I33/168</f>
        <v>0</v>
      </c>
      <c r="AG17" s="178">
        <f>U17*VLOOKUP("Hours",'Model Assumptions'!$B$50:$O$72,12,FALSE)*'Building Breakdown'!$H33*'Building Breakdown'!$I33/168</f>
        <v>0</v>
      </c>
      <c r="AH17" s="179">
        <f>V17*VLOOKUP("Hours",'Model Assumptions'!$B$50:$O$72,13,FALSE)*'Building Breakdown'!$H33*'Building Breakdown'!$I33/168</f>
        <v>0</v>
      </c>
      <c r="AI17" s="234">
        <f t="shared" si="7"/>
        <v>0</v>
      </c>
      <c r="AJ17" s="234">
        <f>'Building Breakdown'!AW33</f>
        <v>0</v>
      </c>
      <c r="AK17" s="234">
        <f t="shared" si="6"/>
        <v>0</v>
      </c>
      <c r="AL17" s="235">
        <f>IF(EXACT('Fabric Changes'!C17,"Yes"),IF('Building Breakdown'!$D$5="High_Security",(HLOOKUP(G17,'Model Assumptions'!$C$43:$E$45,3,FALSE)*'Building Breakdown'!S33),(HLOOKUP(G17,'Model Assumptions'!$C$43:$E$45,2,FALSE)*'Building Breakdown'!S33)),0)</f>
        <v>0</v>
      </c>
      <c r="AM17" s="236">
        <f>IF(EXACT('Fabric Changes'!D17,"Yes"),IF('Building Breakdown'!$D$5="High_Security",('Model Assumptions'!$G$45*'Building Breakdown'!T33),('Model Assumptions'!$G$44*'Building Breakdown'!T33)),0)</f>
        <v>0</v>
      </c>
      <c r="AN17" s="237">
        <f>IF(EXACT('Fabric Changes'!E17,"Yes"),IF('Building Breakdown'!$D$5="High_Security",(HLOOKUP(F17,'Model Assumptions'!C$43:K$45,3,FALSE)*'Building Breakdown'!U33),(HLOOKUP(F17,'Model Assumptions'!C$43:K$45,2,FALSE)*'Building Breakdown'!U33)),0)</f>
        <v>0</v>
      </c>
      <c r="AO17" s="238">
        <f t="shared" si="8"/>
        <v>0</v>
      </c>
      <c r="AP17" s="238">
        <f>IF('Building Breakdown'!$F33='Fabric Changes'!$AP$6,$AK17*'Building Breakdown'!$D$8,0)</f>
        <v>0</v>
      </c>
      <c r="AQ17" s="285">
        <f t="shared" si="9"/>
        <v>0</v>
      </c>
      <c r="AR17" s="287">
        <f>IF($AP17=0,0,$AK17*VLOOKUP('Building Breakdown'!$E$8,'Emission factors'!$C$4:$D$8,2,FALSE))</f>
        <v>0</v>
      </c>
      <c r="AS17" s="238">
        <f>IF('Building Breakdown'!$F33='Fabric Changes'!$AS$6,$AK17*'Building Breakdown'!$D$9,0)</f>
        <v>0</v>
      </c>
      <c r="AT17" s="285">
        <f t="shared" si="10"/>
        <v>0</v>
      </c>
      <c r="AU17" s="287">
        <f>IF($AS17=0,0,$AK17*VLOOKUP('Building Breakdown'!$E$9,'Emission factors'!$C$4:$D$8,2,FALSE))</f>
        <v>0</v>
      </c>
      <c r="AV17" s="238">
        <f>IF('Building Breakdown'!$F33='Fabric Changes'!$AV$6,$AK17*'Building Breakdown'!$D$10,0)</f>
        <v>0</v>
      </c>
      <c r="AW17" s="285">
        <f t="shared" si="5"/>
        <v>0</v>
      </c>
      <c r="AX17" s="287">
        <f>IF($AV17=0,0,$AK17*VLOOKUP('Building Breakdown'!$E$10,'Emission factors'!$C$4:$D$8,2,FALSE))</f>
        <v>0</v>
      </c>
      <c r="AY17" s="169"/>
    </row>
    <row r="18" spans="2:51" x14ac:dyDescent="0.3">
      <c r="B18" s="226" t="str">
        <f>IF('Building Breakdown'!C34="","",'Building Breakdown'!C34)</f>
        <v/>
      </c>
      <c r="C18" s="106"/>
      <c r="D18" s="106"/>
      <c r="E18" s="106"/>
      <c r="F18" s="106"/>
      <c r="G18" s="106"/>
      <c r="H18" s="177">
        <f>MIN(IF(EXACT('Fabric Changes'!C18,"Yes"),'Model Assumptions'!$B$21,'Building Breakdown'!V34),'Building Breakdown'!V34)</f>
        <v>0</v>
      </c>
      <c r="I18" s="178">
        <f>MIN(IF(EXACT('Fabric Changes'!D18,"Yes"),'Model Assumptions'!$D$21,'Building Breakdown'!W34),'Building Breakdown'!W34)</f>
        <v>0</v>
      </c>
      <c r="J18" s="182">
        <f>MIN(IF(EXACT('Fabric Changes'!E18,"Yes"),'Model Assumptions'!$E$21,'Building Breakdown'!X34),'Building Breakdown'!X34)</f>
        <v>0</v>
      </c>
      <c r="K18" s="177">
        <f>(((('Building Breakdown'!$S34*$H18)+('Building Breakdown'!$T34*$I18)+('Building Breakdown'!$U34*$J18))*('Building Breakdown'!$G34-(VLOOKUP('Building Breakdown'!$D$7,'Model Assumptions'!$B$50:$O$72,2,FALSE))))/1000)*'Building Breakdown'!$E34</f>
        <v>0</v>
      </c>
      <c r="L18" s="178">
        <f>(((('Building Breakdown'!$S34*$H18)+('Building Breakdown'!$T34*$I18)+('Building Breakdown'!$U34*$J18))*('Building Breakdown'!$G34-(VLOOKUP('Building Breakdown'!$D$7,'Model Assumptions'!$B$50:$O$72,3,FALSE))))/1000)*'Building Breakdown'!$E34</f>
        <v>0</v>
      </c>
      <c r="M18" s="178">
        <f>(((('Building Breakdown'!$S34*$H18)+('Building Breakdown'!$T34*$I18)+('Building Breakdown'!$U34*$J18))*('Building Breakdown'!$G34-(VLOOKUP('Building Breakdown'!$D$7,'Model Assumptions'!$B$50:$O$72,4,FALSE))))/1000)*'Building Breakdown'!$E34</f>
        <v>0</v>
      </c>
      <c r="N18" s="178">
        <f>(((('Building Breakdown'!$S34*$H18)+('Building Breakdown'!$T34*$I18)+('Building Breakdown'!$U34*$J18))*('Building Breakdown'!$G34-(VLOOKUP('Building Breakdown'!$D$7,'Model Assumptions'!$B$50:$O$72,5,FALSE))))/1000)*'Building Breakdown'!$E34</f>
        <v>0</v>
      </c>
      <c r="O18" s="178">
        <f>(((('Building Breakdown'!$S34*$H18)+('Building Breakdown'!$T34*$I18)+('Building Breakdown'!$U34*$J18))*('Building Breakdown'!$G34-(VLOOKUP('Building Breakdown'!$D$7,'Model Assumptions'!$B$50:$O$72,6,FALSE))))/1000)*'Building Breakdown'!$E34</f>
        <v>0</v>
      </c>
      <c r="P18" s="178">
        <f>(((('Building Breakdown'!$S34*$H18)+('Building Breakdown'!$T34*$I18)+('Building Breakdown'!$U34*$J18))*('Building Breakdown'!$G34-(VLOOKUP('Building Breakdown'!$D$7,'Model Assumptions'!$B$50:$O$72,7,FALSE))))/1000)*'Building Breakdown'!$E34</f>
        <v>0</v>
      </c>
      <c r="Q18" s="178">
        <f>(((('Building Breakdown'!$S34*$H18)+('Building Breakdown'!$T34*$I18)+('Building Breakdown'!$U34*$J18))*('Building Breakdown'!$G34-(VLOOKUP('Building Breakdown'!$D$7,'Model Assumptions'!$B$50:$O$72,8,FALSE))))/1000)*'Building Breakdown'!$E34</f>
        <v>0</v>
      </c>
      <c r="R18" s="178">
        <f>(((('Building Breakdown'!$S34*$H18)+('Building Breakdown'!$T34*$I18)+('Building Breakdown'!$U34*$J18))*('Building Breakdown'!$G34-(VLOOKUP('Building Breakdown'!$D$7,'Model Assumptions'!$B$50:$O$72,9,FALSE))))/1000)*'Building Breakdown'!$E34</f>
        <v>0</v>
      </c>
      <c r="S18" s="178">
        <f>(((('Building Breakdown'!$S34*$H18)+('Building Breakdown'!$T34*$I18)+('Building Breakdown'!$U34*$J18))*('Building Breakdown'!$G34-(VLOOKUP('Building Breakdown'!$D$7,'Model Assumptions'!$B$50:$O$72,10,FALSE))))/1000)*'Building Breakdown'!$E34</f>
        <v>0</v>
      </c>
      <c r="T18" s="178">
        <f>(((('Building Breakdown'!$S34*$H18)+('Building Breakdown'!$T34*$I18)+('Building Breakdown'!$U34*$J18))*('Building Breakdown'!$G34-(VLOOKUP('Building Breakdown'!$D$7,'Model Assumptions'!$B$50:$O$72,11,FALSE))))/1000)*'Building Breakdown'!$E34</f>
        <v>0</v>
      </c>
      <c r="U18" s="178">
        <f>(((('Building Breakdown'!$S34*$H18)+('Building Breakdown'!$T34*$I18)+('Building Breakdown'!$U34*$J18))*('Building Breakdown'!$G34-(VLOOKUP('Building Breakdown'!$D$7,'Model Assumptions'!$B$50:$O$72,12,FALSE))))/1000)*'Building Breakdown'!$E34</f>
        <v>0</v>
      </c>
      <c r="V18" s="179">
        <f>(((('Building Breakdown'!$S34*$H18)+('Building Breakdown'!$T34*$I18)+('Building Breakdown'!$U34*$J18))*('Building Breakdown'!$G34-(VLOOKUP('Building Breakdown'!$D$7,'Model Assumptions'!$B$50:$O$72,13,FALSE))))/1000)*'Building Breakdown'!$E34</f>
        <v>0</v>
      </c>
      <c r="W18" s="177">
        <f>K18*VLOOKUP("Hours",'Model Assumptions'!$B$50:$O$72,2,FALSE)*'Building Breakdown'!$H34*'Building Breakdown'!$I34/168</f>
        <v>0</v>
      </c>
      <c r="X18" s="178">
        <f>L18*VLOOKUP("Hours",'Model Assumptions'!$B$50:$O$72,3,FALSE)*'Building Breakdown'!$H34*'Building Breakdown'!$I34/168</f>
        <v>0</v>
      </c>
      <c r="Y18" s="178">
        <f>M18*VLOOKUP("Hours",'Model Assumptions'!$B$50:$O$72,4,FALSE)*'Building Breakdown'!$H34*'Building Breakdown'!$I34/168</f>
        <v>0</v>
      </c>
      <c r="Z18" s="178">
        <f>N18*VLOOKUP("Hours",'Model Assumptions'!$B$50:$O$72,5,FALSE)*'Building Breakdown'!$H34*'Building Breakdown'!$I34/168</f>
        <v>0</v>
      </c>
      <c r="AA18" s="178">
        <f>O18*VLOOKUP("Hours",'Model Assumptions'!$B$50:$O$72,6,FALSE)*'Building Breakdown'!$H34*'Building Breakdown'!$I34/168</f>
        <v>0</v>
      </c>
      <c r="AB18" s="178">
        <f>P18*VLOOKUP("Hours",'Model Assumptions'!$B$50:$O$72,7,FALSE)*'Building Breakdown'!$H34*'Building Breakdown'!$I34/168</f>
        <v>0</v>
      </c>
      <c r="AC18" s="178">
        <f>Q18*VLOOKUP("Hours",'Model Assumptions'!$B$50:$O$72,8,FALSE)*'Building Breakdown'!$H34*'Building Breakdown'!$I34/168</f>
        <v>0</v>
      </c>
      <c r="AD18" s="178">
        <f>R18*VLOOKUP("Hours",'Model Assumptions'!$B$50:$O$72,9,FALSE)*'Building Breakdown'!$H34*'Building Breakdown'!$I34/168</f>
        <v>0</v>
      </c>
      <c r="AE18" s="178">
        <f>S18*VLOOKUP("Hours",'Model Assumptions'!$B$50:$O$72,10,FALSE)*'Building Breakdown'!$H34*'Building Breakdown'!$I34/168</f>
        <v>0</v>
      </c>
      <c r="AF18" s="178">
        <f>T18*VLOOKUP("Hours",'Model Assumptions'!$B$50:$O$72,11,FALSE)*'Building Breakdown'!$H34*'Building Breakdown'!$I34/168</f>
        <v>0</v>
      </c>
      <c r="AG18" s="178">
        <f>U18*VLOOKUP("Hours",'Model Assumptions'!$B$50:$O$72,12,FALSE)*'Building Breakdown'!$H34*'Building Breakdown'!$I34/168</f>
        <v>0</v>
      </c>
      <c r="AH18" s="179">
        <f>V18*VLOOKUP("Hours",'Model Assumptions'!$B$50:$O$72,13,FALSE)*'Building Breakdown'!$H34*'Building Breakdown'!$I34/168</f>
        <v>0</v>
      </c>
      <c r="AI18" s="234">
        <f t="shared" si="7"/>
        <v>0</v>
      </c>
      <c r="AJ18" s="234">
        <f>'Building Breakdown'!AW34</f>
        <v>0</v>
      </c>
      <c r="AK18" s="234">
        <f t="shared" si="6"/>
        <v>0</v>
      </c>
      <c r="AL18" s="235">
        <f>IF(EXACT('Fabric Changes'!C18,"Yes"),IF('Building Breakdown'!$D$5="High_Security",(HLOOKUP(G18,'Model Assumptions'!$C$43:$E$45,3,FALSE)*'Building Breakdown'!S34),(HLOOKUP(G18,'Model Assumptions'!$C$43:$E$45,2,FALSE)*'Building Breakdown'!S34)),0)</f>
        <v>0</v>
      </c>
      <c r="AM18" s="236">
        <f>IF(EXACT('Fabric Changes'!D18,"Yes"),IF('Building Breakdown'!$D$5="High_Security",('Model Assumptions'!$G$45*'Building Breakdown'!T34),('Model Assumptions'!$G$44*'Building Breakdown'!T34)),0)</f>
        <v>0</v>
      </c>
      <c r="AN18" s="237">
        <f>IF(EXACT('Fabric Changes'!E18,"Yes"),IF('Building Breakdown'!$D$5="High_Security",(HLOOKUP(F18,'Model Assumptions'!C$43:K$45,3,FALSE)*'Building Breakdown'!U34),(HLOOKUP(F18,'Model Assumptions'!C$43:K$45,2,FALSE)*'Building Breakdown'!U34)),0)</f>
        <v>0</v>
      </c>
      <c r="AO18" s="238">
        <f t="shared" si="8"/>
        <v>0</v>
      </c>
      <c r="AP18" s="238">
        <f>IF('Building Breakdown'!$F34='Fabric Changes'!$AP$6,$AK18*'Building Breakdown'!$D$8,0)</f>
        <v>0</v>
      </c>
      <c r="AQ18" s="285">
        <f t="shared" si="9"/>
        <v>0</v>
      </c>
      <c r="AR18" s="287">
        <f>IF($AP18=0,0,$AK18*VLOOKUP('Building Breakdown'!$E$8,'Emission factors'!$C$4:$D$8,2,FALSE))</f>
        <v>0</v>
      </c>
      <c r="AS18" s="238">
        <f>IF('Building Breakdown'!$F34='Fabric Changes'!$AS$6,$AK18*'Building Breakdown'!$D$9,0)</f>
        <v>0</v>
      </c>
      <c r="AT18" s="285">
        <f t="shared" si="10"/>
        <v>0</v>
      </c>
      <c r="AU18" s="287">
        <f>IF($AS18=0,0,$AK18*VLOOKUP('Building Breakdown'!$E$9,'Emission factors'!$C$4:$D$8,2,FALSE))</f>
        <v>0</v>
      </c>
      <c r="AV18" s="238">
        <f>IF('Building Breakdown'!$F34='Fabric Changes'!$AV$6,$AK18*'Building Breakdown'!$D$10,0)</f>
        <v>0</v>
      </c>
      <c r="AW18" s="285">
        <f t="shared" si="5"/>
        <v>0</v>
      </c>
      <c r="AX18" s="287">
        <f>IF($AV18=0,0,$AK18*VLOOKUP('Building Breakdown'!$E$10,'Emission factors'!$C$4:$D$8,2,FALSE))</f>
        <v>0</v>
      </c>
      <c r="AY18" s="169"/>
    </row>
    <row r="19" spans="2:51" x14ac:dyDescent="0.3">
      <c r="B19" s="226" t="str">
        <f>IF('Building Breakdown'!C35="","",'Building Breakdown'!C35)</f>
        <v/>
      </c>
      <c r="C19" s="106"/>
      <c r="D19" s="106"/>
      <c r="E19" s="106"/>
      <c r="F19" s="106"/>
      <c r="G19" s="106"/>
      <c r="H19" s="177">
        <f>MIN(IF(EXACT('Fabric Changes'!C19,"Yes"),'Model Assumptions'!$B$21,'Building Breakdown'!V35),'Building Breakdown'!V35)</f>
        <v>0</v>
      </c>
      <c r="I19" s="178">
        <f>MIN(IF(EXACT('Fabric Changes'!D19,"Yes"),'Model Assumptions'!$D$21,'Building Breakdown'!W35),'Building Breakdown'!W35)</f>
        <v>0</v>
      </c>
      <c r="J19" s="182">
        <f>MIN(IF(EXACT('Fabric Changes'!E19,"Yes"),'Model Assumptions'!$E$21,'Building Breakdown'!X35),'Building Breakdown'!X35)</f>
        <v>0</v>
      </c>
      <c r="K19" s="177">
        <f>(((('Building Breakdown'!$S35*$H19)+('Building Breakdown'!$T35*$I19)+('Building Breakdown'!$U35*$J19))*('Building Breakdown'!$G35-(VLOOKUP('Building Breakdown'!$D$7,'Model Assumptions'!$B$50:$O$72,2,FALSE))))/1000)*'Building Breakdown'!$E35</f>
        <v>0</v>
      </c>
      <c r="L19" s="178">
        <f>(((('Building Breakdown'!$S35*$H19)+('Building Breakdown'!$T35*$I19)+('Building Breakdown'!$U35*$J19))*('Building Breakdown'!$G35-(VLOOKUP('Building Breakdown'!$D$7,'Model Assumptions'!$B$50:$O$72,3,FALSE))))/1000)*'Building Breakdown'!$E35</f>
        <v>0</v>
      </c>
      <c r="M19" s="178">
        <f>(((('Building Breakdown'!$S35*$H19)+('Building Breakdown'!$T35*$I19)+('Building Breakdown'!$U35*$J19))*('Building Breakdown'!$G35-(VLOOKUP('Building Breakdown'!$D$7,'Model Assumptions'!$B$50:$O$72,4,FALSE))))/1000)*'Building Breakdown'!$E35</f>
        <v>0</v>
      </c>
      <c r="N19" s="178">
        <f>(((('Building Breakdown'!$S35*$H19)+('Building Breakdown'!$T35*$I19)+('Building Breakdown'!$U35*$J19))*('Building Breakdown'!$G35-(VLOOKUP('Building Breakdown'!$D$7,'Model Assumptions'!$B$50:$O$72,5,FALSE))))/1000)*'Building Breakdown'!$E35</f>
        <v>0</v>
      </c>
      <c r="O19" s="178">
        <f>(((('Building Breakdown'!$S35*$H19)+('Building Breakdown'!$T35*$I19)+('Building Breakdown'!$U35*$J19))*('Building Breakdown'!$G35-(VLOOKUP('Building Breakdown'!$D$7,'Model Assumptions'!$B$50:$O$72,6,FALSE))))/1000)*'Building Breakdown'!$E35</f>
        <v>0</v>
      </c>
      <c r="P19" s="178">
        <f>(((('Building Breakdown'!$S35*$H19)+('Building Breakdown'!$T35*$I19)+('Building Breakdown'!$U35*$J19))*('Building Breakdown'!$G35-(VLOOKUP('Building Breakdown'!$D$7,'Model Assumptions'!$B$50:$O$72,7,FALSE))))/1000)*'Building Breakdown'!$E35</f>
        <v>0</v>
      </c>
      <c r="Q19" s="178">
        <f>(((('Building Breakdown'!$S35*$H19)+('Building Breakdown'!$T35*$I19)+('Building Breakdown'!$U35*$J19))*('Building Breakdown'!$G35-(VLOOKUP('Building Breakdown'!$D$7,'Model Assumptions'!$B$50:$O$72,8,FALSE))))/1000)*'Building Breakdown'!$E35</f>
        <v>0</v>
      </c>
      <c r="R19" s="178">
        <f>(((('Building Breakdown'!$S35*$H19)+('Building Breakdown'!$T35*$I19)+('Building Breakdown'!$U35*$J19))*('Building Breakdown'!$G35-(VLOOKUP('Building Breakdown'!$D$7,'Model Assumptions'!$B$50:$O$72,9,FALSE))))/1000)*'Building Breakdown'!$E35</f>
        <v>0</v>
      </c>
      <c r="S19" s="178">
        <f>(((('Building Breakdown'!$S35*$H19)+('Building Breakdown'!$T35*$I19)+('Building Breakdown'!$U35*$J19))*('Building Breakdown'!$G35-(VLOOKUP('Building Breakdown'!$D$7,'Model Assumptions'!$B$50:$O$72,10,FALSE))))/1000)*'Building Breakdown'!$E35</f>
        <v>0</v>
      </c>
      <c r="T19" s="178">
        <f>(((('Building Breakdown'!$S35*$H19)+('Building Breakdown'!$T35*$I19)+('Building Breakdown'!$U35*$J19))*('Building Breakdown'!$G35-(VLOOKUP('Building Breakdown'!$D$7,'Model Assumptions'!$B$50:$O$72,11,FALSE))))/1000)*'Building Breakdown'!$E35</f>
        <v>0</v>
      </c>
      <c r="U19" s="178">
        <f>(((('Building Breakdown'!$S35*$H19)+('Building Breakdown'!$T35*$I19)+('Building Breakdown'!$U35*$J19))*('Building Breakdown'!$G35-(VLOOKUP('Building Breakdown'!$D$7,'Model Assumptions'!$B$50:$O$72,12,FALSE))))/1000)*'Building Breakdown'!$E35</f>
        <v>0</v>
      </c>
      <c r="V19" s="179">
        <f>(((('Building Breakdown'!$S35*$H19)+('Building Breakdown'!$T35*$I19)+('Building Breakdown'!$U35*$J19))*('Building Breakdown'!$G35-(VLOOKUP('Building Breakdown'!$D$7,'Model Assumptions'!$B$50:$O$72,13,FALSE))))/1000)*'Building Breakdown'!$E35</f>
        <v>0</v>
      </c>
      <c r="W19" s="177">
        <f>K19*VLOOKUP("Hours",'Model Assumptions'!$B$50:$O$72,2,FALSE)*'Building Breakdown'!$H35*'Building Breakdown'!$I35/168</f>
        <v>0</v>
      </c>
      <c r="X19" s="178">
        <f>L19*VLOOKUP("Hours",'Model Assumptions'!$B$50:$O$72,3,FALSE)*'Building Breakdown'!$H35*'Building Breakdown'!$I35/168</f>
        <v>0</v>
      </c>
      <c r="Y19" s="178">
        <f>M19*VLOOKUP("Hours",'Model Assumptions'!$B$50:$O$72,4,FALSE)*'Building Breakdown'!$H35*'Building Breakdown'!$I35/168</f>
        <v>0</v>
      </c>
      <c r="Z19" s="178">
        <f>N19*VLOOKUP("Hours",'Model Assumptions'!$B$50:$O$72,5,FALSE)*'Building Breakdown'!$H35*'Building Breakdown'!$I35/168</f>
        <v>0</v>
      </c>
      <c r="AA19" s="178">
        <f>O19*VLOOKUP("Hours",'Model Assumptions'!$B$50:$O$72,6,FALSE)*'Building Breakdown'!$H35*'Building Breakdown'!$I35/168</f>
        <v>0</v>
      </c>
      <c r="AB19" s="178">
        <f>P19*VLOOKUP("Hours",'Model Assumptions'!$B$50:$O$72,7,FALSE)*'Building Breakdown'!$H35*'Building Breakdown'!$I35/168</f>
        <v>0</v>
      </c>
      <c r="AC19" s="178">
        <f>Q19*VLOOKUP("Hours",'Model Assumptions'!$B$50:$O$72,8,FALSE)*'Building Breakdown'!$H35*'Building Breakdown'!$I35/168</f>
        <v>0</v>
      </c>
      <c r="AD19" s="178">
        <f>R19*VLOOKUP("Hours",'Model Assumptions'!$B$50:$O$72,9,FALSE)*'Building Breakdown'!$H35*'Building Breakdown'!$I35/168</f>
        <v>0</v>
      </c>
      <c r="AE19" s="178">
        <f>S19*VLOOKUP("Hours",'Model Assumptions'!$B$50:$O$72,10,FALSE)*'Building Breakdown'!$H35*'Building Breakdown'!$I35/168</f>
        <v>0</v>
      </c>
      <c r="AF19" s="178">
        <f>T19*VLOOKUP("Hours",'Model Assumptions'!$B$50:$O$72,11,FALSE)*'Building Breakdown'!$H35*'Building Breakdown'!$I35/168</f>
        <v>0</v>
      </c>
      <c r="AG19" s="178">
        <f>U19*VLOOKUP("Hours",'Model Assumptions'!$B$50:$O$72,12,FALSE)*'Building Breakdown'!$H35*'Building Breakdown'!$I35/168</f>
        <v>0</v>
      </c>
      <c r="AH19" s="179">
        <f>V19*VLOOKUP("Hours",'Model Assumptions'!$B$50:$O$72,13,FALSE)*'Building Breakdown'!$H35*'Building Breakdown'!$I35/168</f>
        <v>0</v>
      </c>
      <c r="AI19" s="234">
        <f t="shared" si="7"/>
        <v>0</v>
      </c>
      <c r="AJ19" s="234">
        <f>'Building Breakdown'!AW35</f>
        <v>0</v>
      </c>
      <c r="AK19" s="234">
        <f t="shared" si="6"/>
        <v>0</v>
      </c>
      <c r="AL19" s="235">
        <f>IF(EXACT('Fabric Changes'!C19,"Yes"),IF('Building Breakdown'!$D$5="High_Security",(HLOOKUP(G19,'Model Assumptions'!$C$43:$E$45,3,FALSE)*'Building Breakdown'!S35),(HLOOKUP(G19,'Model Assumptions'!$C$43:$E$45,2,FALSE)*'Building Breakdown'!S35)),0)</f>
        <v>0</v>
      </c>
      <c r="AM19" s="236">
        <f>IF(EXACT('Fabric Changes'!D19,"Yes"),IF('Building Breakdown'!$D$5="High_Security",('Model Assumptions'!$G$45*'Building Breakdown'!T35),('Model Assumptions'!$G$44*'Building Breakdown'!T35)),0)</f>
        <v>0</v>
      </c>
      <c r="AN19" s="237">
        <f>IF(EXACT('Fabric Changes'!E19,"Yes"),IF('Building Breakdown'!$D$5="High_Security",(HLOOKUP(F19,'Model Assumptions'!C$43:K$45,3,FALSE)*'Building Breakdown'!U35),(HLOOKUP(F19,'Model Assumptions'!C$43:K$45,2,FALSE)*'Building Breakdown'!U35)),0)</f>
        <v>0</v>
      </c>
      <c r="AO19" s="238">
        <f t="shared" si="8"/>
        <v>0</v>
      </c>
      <c r="AP19" s="238">
        <f>IF('Building Breakdown'!$F35='Fabric Changes'!$AP$6,$AK19*'Building Breakdown'!$D$8,0)</f>
        <v>0</v>
      </c>
      <c r="AQ19" s="285">
        <f t="shared" si="9"/>
        <v>0</v>
      </c>
      <c r="AR19" s="287">
        <f>IF($AP19=0,0,$AK19*VLOOKUP('Building Breakdown'!$E$8,'Emission factors'!$C$4:$D$8,2,FALSE))</f>
        <v>0</v>
      </c>
      <c r="AS19" s="238">
        <f>IF('Building Breakdown'!$F35='Fabric Changes'!$AS$6,$AK19*'Building Breakdown'!$D$9,0)</f>
        <v>0</v>
      </c>
      <c r="AT19" s="285">
        <f t="shared" si="10"/>
        <v>0</v>
      </c>
      <c r="AU19" s="287">
        <f>IF($AS19=0,0,$AK19*VLOOKUP('Building Breakdown'!$E$9,'Emission factors'!$C$4:$D$8,2,FALSE))</f>
        <v>0</v>
      </c>
      <c r="AV19" s="238">
        <f>IF('Building Breakdown'!$F35='Fabric Changes'!$AV$6,$AK19*'Building Breakdown'!$D$10,0)</f>
        <v>0</v>
      </c>
      <c r="AW19" s="285">
        <f t="shared" si="5"/>
        <v>0</v>
      </c>
      <c r="AX19" s="287">
        <f>IF($AV19=0,0,$AK19*VLOOKUP('Building Breakdown'!$E$10,'Emission factors'!$C$4:$D$8,2,FALSE))</f>
        <v>0</v>
      </c>
      <c r="AY19" s="169"/>
    </row>
    <row r="20" spans="2:51" x14ac:dyDescent="0.3">
      <c r="B20" s="226" t="str">
        <f>IF('Building Breakdown'!C36="","",'Building Breakdown'!C36)</f>
        <v/>
      </c>
      <c r="C20" s="106"/>
      <c r="D20" s="106"/>
      <c r="E20" s="106"/>
      <c r="F20" s="106"/>
      <c r="G20" s="106"/>
      <c r="H20" s="177">
        <f>MIN(IF(EXACT('Fabric Changes'!C20,"Yes"),'Model Assumptions'!$B$21,'Building Breakdown'!V36),'Building Breakdown'!V36)</f>
        <v>0</v>
      </c>
      <c r="I20" s="178">
        <f>MIN(IF(EXACT('Fabric Changes'!D20,"Yes"),'Model Assumptions'!$D$21,'Building Breakdown'!W36),'Building Breakdown'!W36)</f>
        <v>0</v>
      </c>
      <c r="J20" s="182">
        <f>MIN(IF(EXACT('Fabric Changes'!E20,"Yes"),'Model Assumptions'!$E$21,'Building Breakdown'!X36),'Building Breakdown'!X36)</f>
        <v>0</v>
      </c>
      <c r="K20" s="177">
        <f>(((('Building Breakdown'!$S36*$H20)+('Building Breakdown'!$T36*$I20)+('Building Breakdown'!$U36*$J20))*('Building Breakdown'!$G36-(VLOOKUP('Building Breakdown'!$D$7,'Model Assumptions'!$B$50:$O$72,2,FALSE))))/1000)*'Building Breakdown'!$E36</f>
        <v>0</v>
      </c>
      <c r="L20" s="178">
        <f>(((('Building Breakdown'!$S36*$H20)+('Building Breakdown'!$T36*$I20)+('Building Breakdown'!$U36*$J20))*('Building Breakdown'!$G36-(VLOOKUP('Building Breakdown'!$D$7,'Model Assumptions'!$B$50:$O$72,3,FALSE))))/1000)*'Building Breakdown'!$E36</f>
        <v>0</v>
      </c>
      <c r="M20" s="178">
        <f>(((('Building Breakdown'!$S36*$H20)+('Building Breakdown'!$T36*$I20)+('Building Breakdown'!$U36*$J20))*('Building Breakdown'!$G36-(VLOOKUP('Building Breakdown'!$D$7,'Model Assumptions'!$B$50:$O$72,4,FALSE))))/1000)*'Building Breakdown'!$E36</f>
        <v>0</v>
      </c>
      <c r="N20" s="178">
        <f>(((('Building Breakdown'!$S36*$H20)+('Building Breakdown'!$T36*$I20)+('Building Breakdown'!$U36*$J20))*('Building Breakdown'!$G36-(VLOOKUP('Building Breakdown'!$D$7,'Model Assumptions'!$B$50:$O$72,5,FALSE))))/1000)*'Building Breakdown'!$E36</f>
        <v>0</v>
      </c>
      <c r="O20" s="178">
        <f>(((('Building Breakdown'!$S36*$H20)+('Building Breakdown'!$T36*$I20)+('Building Breakdown'!$U36*$J20))*('Building Breakdown'!$G36-(VLOOKUP('Building Breakdown'!$D$7,'Model Assumptions'!$B$50:$O$72,6,FALSE))))/1000)*'Building Breakdown'!$E36</f>
        <v>0</v>
      </c>
      <c r="P20" s="178">
        <f>(((('Building Breakdown'!$S36*$H20)+('Building Breakdown'!$T36*$I20)+('Building Breakdown'!$U36*$J20))*('Building Breakdown'!$G36-(VLOOKUP('Building Breakdown'!$D$7,'Model Assumptions'!$B$50:$O$72,7,FALSE))))/1000)*'Building Breakdown'!$E36</f>
        <v>0</v>
      </c>
      <c r="Q20" s="178">
        <f>(((('Building Breakdown'!$S36*$H20)+('Building Breakdown'!$T36*$I20)+('Building Breakdown'!$U36*$J20))*('Building Breakdown'!$G36-(VLOOKUP('Building Breakdown'!$D$7,'Model Assumptions'!$B$50:$O$72,8,FALSE))))/1000)*'Building Breakdown'!$E36</f>
        <v>0</v>
      </c>
      <c r="R20" s="178">
        <f>(((('Building Breakdown'!$S36*$H20)+('Building Breakdown'!$T36*$I20)+('Building Breakdown'!$U36*$J20))*('Building Breakdown'!$G36-(VLOOKUP('Building Breakdown'!$D$7,'Model Assumptions'!$B$50:$O$72,9,FALSE))))/1000)*'Building Breakdown'!$E36</f>
        <v>0</v>
      </c>
      <c r="S20" s="178">
        <f>(((('Building Breakdown'!$S36*$H20)+('Building Breakdown'!$T36*$I20)+('Building Breakdown'!$U36*$J20))*('Building Breakdown'!$G36-(VLOOKUP('Building Breakdown'!$D$7,'Model Assumptions'!$B$50:$O$72,10,FALSE))))/1000)*'Building Breakdown'!$E36</f>
        <v>0</v>
      </c>
      <c r="T20" s="178">
        <f>(((('Building Breakdown'!$S36*$H20)+('Building Breakdown'!$T36*$I20)+('Building Breakdown'!$U36*$J20))*('Building Breakdown'!$G36-(VLOOKUP('Building Breakdown'!$D$7,'Model Assumptions'!$B$50:$O$72,11,FALSE))))/1000)*'Building Breakdown'!$E36</f>
        <v>0</v>
      </c>
      <c r="U20" s="178">
        <f>(((('Building Breakdown'!$S36*$H20)+('Building Breakdown'!$T36*$I20)+('Building Breakdown'!$U36*$J20))*('Building Breakdown'!$G36-(VLOOKUP('Building Breakdown'!$D$7,'Model Assumptions'!$B$50:$O$72,12,FALSE))))/1000)*'Building Breakdown'!$E36</f>
        <v>0</v>
      </c>
      <c r="V20" s="179">
        <f>(((('Building Breakdown'!$S36*$H20)+('Building Breakdown'!$T36*$I20)+('Building Breakdown'!$U36*$J20))*('Building Breakdown'!$G36-(VLOOKUP('Building Breakdown'!$D$7,'Model Assumptions'!$B$50:$O$72,13,FALSE))))/1000)*'Building Breakdown'!$E36</f>
        <v>0</v>
      </c>
      <c r="W20" s="177">
        <f>K20*VLOOKUP("Hours",'Model Assumptions'!$B$50:$O$72,2,FALSE)*'Building Breakdown'!$H36*'Building Breakdown'!$I36/168</f>
        <v>0</v>
      </c>
      <c r="X20" s="178">
        <f>L20*VLOOKUP("Hours",'Model Assumptions'!$B$50:$O$72,3,FALSE)*'Building Breakdown'!$H36*'Building Breakdown'!$I36/168</f>
        <v>0</v>
      </c>
      <c r="Y20" s="178">
        <f>M20*VLOOKUP("Hours",'Model Assumptions'!$B$50:$O$72,4,FALSE)*'Building Breakdown'!$H36*'Building Breakdown'!$I36/168</f>
        <v>0</v>
      </c>
      <c r="Z20" s="178">
        <f>N20*VLOOKUP("Hours",'Model Assumptions'!$B$50:$O$72,5,FALSE)*'Building Breakdown'!$H36*'Building Breakdown'!$I36/168</f>
        <v>0</v>
      </c>
      <c r="AA20" s="178">
        <f>O20*VLOOKUP("Hours",'Model Assumptions'!$B$50:$O$72,6,FALSE)*'Building Breakdown'!$H36*'Building Breakdown'!$I36/168</f>
        <v>0</v>
      </c>
      <c r="AB20" s="178">
        <f>P20*VLOOKUP("Hours",'Model Assumptions'!$B$50:$O$72,7,FALSE)*'Building Breakdown'!$H36*'Building Breakdown'!$I36/168</f>
        <v>0</v>
      </c>
      <c r="AC20" s="178">
        <f>Q20*VLOOKUP("Hours",'Model Assumptions'!$B$50:$O$72,8,FALSE)*'Building Breakdown'!$H36*'Building Breakdown'!$I36/168</f>
        <v>0</v>
      </c>
      <c r="AD20" s="178">
        <f>R20*VLOOKUP("Hours",'Model Assumptions'!$B$50:$O$72,9,FALSE)*'Building Breakdown'!$H36*'Building Breakdown'!$I36/168</f>
        <v>0</v>
      </c>
      <c r="AE20" s="178">
        <f>S20*VLOOKUP("Hours",'Model Assumptions'!$B$50:$O$72,10,FALSE)*'Building Breakdown'!$H36*'Building Breakdown'!$I36/168</f>
        <v>0</v>
      </c>
      <c r="AF20" s="178">
        <f>T20*VLOOKUP("Hours",'Model Assumptions'!$B$50:$O$72,11,FALSE)*'Building Breakdown'!$H36*'Building Breakdown'!$I36/168</f>
        <v>0</v>
      </c>
      <c r="AG20" s="178">
        <f>U20*VLOOKUP("Hours",'Model Assumptions'!$B$50:$O$72,12,FALSE)*'Building Breakdown'!$H36*'Building Breakdown'!$I36/168</f>
        <v>0</v>
      </c>
      <c r="AH20" s="179">
        <f>V20*VLOOKUP("Hours",'Model Assumptions'!$B$50:$O$72,13,FALSE)*'Building Breakdown'!$H36*'Building Breakdown'!$I36/168</f>
        <v>0</v>
      </c>
      <c r="AI20" s="234">
        <f t="shared" si="7"/>
        <v>0</v>
      </c>
      <c r="AJ20" s="234">
        <f>'Building Breakdown'!AW36</f>
        <v>0</v>
      </c>
      <c r="AK20" s="234">
        <f t="shared" si="6"/>
        <v>0</v>
      </c>
      <c r="AL20" s="235">
        <f>IF(EXACT('Fabric Changes'!C20,"Yes"),IF('Building Breakdown'!$D$5="High_Security",(HLOOKUP(G20,'Model Assumptions'!$C$43:$E$45,3,FALSE)*'Building Breakdown'!S36),(HLOOKUP(G20,'Model Assumptions'!$C$43:$E$45,2,FALSE)*'Building Breakdown'!S36)),0)</f>
        <v>0</v>
      </c>
      <c r="AM20" s="236">
        <f>IF(EXACT('Fabric Changes'!D20,"Yes"),IF('Building Breakdown'!$D$5="High_Security",('Model Assumptions'!$G$45*'Building Breakdown'!T36),('Model Assumptions'!$G$44*'Building Breakdown'!T36)),0)</f>
        <v>0</v>
      </c>
      <c r="AN20" s="237">
        <f>IF(EXACT('Fabric Changes'!E20,"Yes"),IF('Building Breakdown'!$D$5="High_Security",(HLOOKUP(F20,'Model Assumptions'!C$43:K$45,3,FALSE)*'Building Breakdown'!U36),(HLOOKUP(F20,'Model Assumptions'!C$43:K$45,2,FALSE)*'Building Breakdown'!U36)),0)</f>
        <v>0</v>
      </c>
      <c r="AO20" s="238">
        <f t="shared" si="8"/>
        <v>0</v>
      </c>
      <c r="AP20" s="238">
        <f>IF('Building Breakdown'!$F36='Fabric Changes'!$AP$6,$AK20*'Building Breakdown'!$D$8,0)</f>
        <v>0</v>
      </c>
      <c r="AQ20" s="285">
        <f t="shared" si="9"/>
        <v>0</v>
      </c>
      <c r="AR20" s="287">
        <f>IF($AP20=0,0,$AK20*VLOOKUP('Building Breakdown'!$E$8,'Emission factors'!$C$4:$D$8,2,FALSE))</f>
        <v>0</v>
      </c>
      <c r="AS20" s="238">
        <f>IF('Building Breakdown'!$F36='Fabric Changes'!$AS$6,$AK20*'Building Breakdown'!$D$9,0)</f>
        <v>0</v>
      </c>
      <c r="AT20" s="285">
        <f t="shared" si="10"/>
        <v>0</v>
      </c>
      <c r="AU20" s="287">
        <f>IF($AS20=0,0,$AK20*VLOOKUP('Building Breakdown'!$E$9,'Emission factors'!$C$4:$D$8,2,FALSE))</f>
        <v>0</v>
      </c>
      <c r="AV20" s="238">
        <f>IF('Building Breakdown'!$F36='Fabric Changes'!$AV$6,$AK20*'Building Breakdown'!$D$10,0)</f>
        <v>0</v>
      </c>
      <c r="AW20" s="285">
        <f t="shared" si="5"/>
        <v>0</v>
      </c>
      <c r="AX20" s="287">
        <f>IF($AV20=0,0,$AK20*VLOOKUP('Building Breakdown'!$E$10,'Emission factors'!$C$4:$D$8,2,FALSE))</f>
        <v>0</v>
      </c>
      <c r="AY20" s="169"/>
    </row>
    <row r="21" spans="2:51" x14ac:dyDescent="0.3">
      <c r="B21" s="226" t="str">
        <f>IF('Building Breakdown'!C37="","",'Building Breakdown'!C37)</f>
        <v/>
      </c>
      <c r="C21" s="106"/>
      <c r="D21" s="106"/>
      <c r="E21" s="106"/>
      <c r="F21" s="106"/>
      <c r="G21" s="106"/>
      <c r="H21" s="177">
        <f>MIN(IF(EXACT('Fabric Changes'!C21,"Yes"),'Model Assumptions'!$B$21,'Building Breakdown'!V37),'Building Breakdown'!V37)</f>
        <v>0</v>
      </c>
      <c r="I21" s="178">
        <f>MIN(IF(EXACT('Fabric Changes'!D21,"Yes"),'Model Assumptions'!$D$21,'Building Breakdown'!W37),'Building Breakdown'!W37)</f>
        <v>0</v>
      </c>
      <c r="J21" s="182">
        <f>MIN(IF(EXACT('Fabric Changes'!E21,"Yes"),'Model Assumptions'!$E$21,'Building Breakdown'!X37),'Building Breakdown'!X37)</f>
        <v>0</v>
      </c>
      <c r="K21" s="177">
        <f>(((('Building Breakdown'!$S37*$H21)+('Building Breakdown'!$T37*$I21)+('Building Breakdown'!$U37*$J21))*('Building Breakdown'!$G37-(VLOOKUP('Building Breakdown'!$D$7,'Model Assumptions'!$B$50:$O$72,2,FALSE))))/1000)*'Building Breakdown'!$E37</f>
        <v>0</v>
      </c>
      <c r="L21" s="178">
        <f>(((('Building Breakdown'!$S37*$H21)+('Building Breakdown'!$T37*$I21)+('Building Breakdown'!$U37*$J21))*('Building Breakdown'!$G37-(VLOOKUP('Building Breakdown'!$D$7,'Model Assumptions'!$B$50:$O$72,3,FALSE))))/1000)*'Building Breakdown'!$E37</f>
        <v>0</v>
      </c>
      <c r="M21" s="178">
        <f>(((('Building Breakdown'!$S37*$H21)+('Building Breakdown'!$T37*$I21)+('Building Breakdown'!$U37*$J21))*('Building Breakdown'!$G37-(VLOOKUP('Building Breakdown'!$D$7,'Model Assumptions'!$B$50:$O$72,4,FALSE))))/1000)*'Building Breakdown'!$E37</f>
        <v>0</v>
      </c>
      <c r="N21" s="178">
        <f>(((('Building Breakdown'!$S37*$H21)+('Building Breakdown'!$T37*$I21)+('Building Breakdown'!$U37*$J21))*('Building Breakdown'!$G37-(VLOOKUP('Building Breakdown'!$D$7,'Model Assumptions'!$B$50:$O$72,5,FALSE))))/1000)*'Building Breakdown'!$E37</f>
        <v>0</v>
      </c>
      <c r="O21" s="178">
        <f>(((('Building Breakdown'!$S37*$H21)+('Building Breakdown'!$T37*$I21)+('Building Breakdown'!$U37*$J21))*('Building Breakdown'!$G37-(VLOOKUP('Building Breakdown'!$D$7,'Model Assumptions'!$B$50:$O$72,6,FALSE))))/1000)*'Building Breakdown'!$E37</f>
        <v>0</v>
      </c>
      <c r="P21" s="178">
        <f>(((('Building Breakdown'!$S37*$H21)+('Building Breakdown'!$T37*$I21)+('Building Breakdown'!$U37*$J21))*('Building Breakdown'!$G37-(VLOOKUP('Building Breakdown'!$D$7,'Model Assumptions'!$B$50:$O$72,7,FALSE))))/1000)*'Building Breakdown'!$E37</f>
        <v>0</v>
      </c>
      <c r="Q21" s="178">
        <f>(((('Building Breakdown'!$S37*$H21)+('Building Breakdown'!$T37*$I21)+('Building Breakdown'!$U37*$J21))*('Building Breakdown'!$G37-(VLOOKUP('Building Breakdown'!$D$7,'Model Assumptions'!$B$50:$O$72,8,FALSE))))/1000)*'Building Breakdown'!$E37</f>
        <v>0</v>
      </c>
      <c r="R21" s="178">
        <f>(((('Building Breakdown'!$S37*$H21)+('Building Breakdown'!$T37*$I21)+('Building Breakdown'!$U37*$J21))*('Building Breakdown'!$G37-(VLOOKUP('Building Breakdown'!$D$7,'Model Assumptions'!$B$50:$O$72,9,FALSE))))/1000)*'Building Breakdown'!$E37</f>
        <v>0</v>
      </c>
      <c r="S21" s="178">
        <f>(((('Building Breakdown'!$S37*$H21)+('Building Breakdown'!$T37*$I21)+('Building Breakdown'!$U37*$J21))*('Building Breakdown'!$G37-(VLOOKUP('Building Breakdown'!$D$7,'Model Assumptions'!$B$50:$O$72,10,FALSE))))/1000)*'Building Breakdown'!$E37</f>
        <v>0</v>
      </c>
      <c r="T21" s="178">
        <f>(((('Building Breakdown'!$S37*$H21)+('Building Breakdown'!$T37*$I21)+('Building Breakdown'!$U37*$J21))*('Building Breakdown'!$G37-(VLOOKUP('Building Breakdown'!$D$7,'Model Assumptions'!$B$50:$O$72,11,FALSE))))/1000)*'Building Breakdown'!$E37</f>
        <v>0</v>
      </c>
      <c r="U21" s="178">
        <f>(((('Building Breakdown'!$S37*$H21)+('Building Breakdown'!$T37*$I21)+('Building Breakdown'!$U37*$J21))*('Building Breakdown'!$G37-(VLOOKUP('Building Breakdown'!$D$7,'Model Assumptions'!$B$50:$O$72,12,FALSE))))/1000)*'Building Breakdown'!$E37</f>
        <v>0</v>
      </c>
      <c r="V21" s="179">
        <f>(((('Building Breakdown'!$S37*$H21)+('Building Breakdown'!$T37*$I21)+('Building Breakdown'!$U37*$J21))*('Building Breakdown'!$G37-(VLOOKUP('Building Breakdown'!$D$7,'Model Assumptions'!$B$50:$O$72,13,FALSE))))/1000)*'Building Breakdown'!$E37</f>
        <v>0</v>
      </c>
      <c r="W21" s="177">
        <f>K21*VLOOKUP("Hours",'Model Assumptions'!$B$50:$O$72,2,FALSE)*'Building Breakdown'!$H37*'Building Breakdown'!$I37/168</f>
        <v>0</v>
      </c>
      <c r="X21" s="178">
        <f>L21*VLOOKUP("Hours",'Model Assumptions'!$B$50:$O$72,3,FALSE)*'Building Breakdown'!$H37*'Building Breakdown'!$I37/168</f>
        <v>0</v>
      </c>
      <c r="Y21" s="178">
        <f>M21*VLOOKUP("Hours",'Model Assumptions'!$B$50:$O$72,4,FALSE)*'Building Breakdown'!$H37*'Building Breakdown'!$I37/168</f>
        <v>0</v>
      </c>
      <c r="Z21" s="178">
        <f>N21*VLOOKUP("Hours",'Model Assumptions'!$B$50:$O$72,5,FALSE)*'Building Breakdown'!$H37*'Building Breakdown'!$I37/168</f>
        <v>0</v>
      </c>
      <c r="AA21" s="178">
        <f>O21*VLOOKUP("Hours",'Model Assumptions'!$B$50:$O$72,6,FALSE)*'Building Breakdown'!$H37*'Building Breakdown'!$I37/168</f>
        <v>0</v>
      </c>
      <c r="AB21" s="178">
        <f>P21*VLOOKUP("Hours",'Model Assumptions'!$B$50:$O$72,7,FALSE)*'Building Breakdown'!$H37*'Building Breakdown'!$I37/168</f>
        <v>0</v>
      </c>
      <c r="AC21" s="178">
        <f>Q21*VLOOKUP("Hours",'Model Assumptions'!$B$50:$O$72,8,FALSE)*'Building Breakdown'!$H37*'Building Breakdown'!$I37/168</f>
        <v>0</v>
      </c>
      <c r="AD21" s="178">
        <f>R21*VLOOKUP("Hours",'Model Assumptions'!$B$50:$O$72,9,FALSE)*'Building Breakdown'!$H37*'Building Breakdown'!$I37/168</f>
        <v>0</v>
      </c>
      <c r="AE21" s="178">
        <f>S21*VLOOKUP("Hours",'Model Assumptions'!$B$50:$O$72,10,FALSE)*'Building Breakdown'!$H37*'Building Breakdown'!$I37/168</f>
        <v>0</v>
      </c>
      <c r="AF21" s="178">
        <f>T21*VLOOKUP("Hours",'Model Assumptions'!$B$50:$O$72,11,FALSE)*'Building Breakdown'!$H37*'Building Breakdown'!$I37/168</f>
        <v>0</v>
      </c>
      <c r="AG21" s="178">
        <f>U21*VLOOKUP("Hours",'Model Assumptions'!$B$50:$O$72,12,FALSE)*'Building Breakdown'!$H37*'Building Breakdown'!$I37/168</f>
        <v>0</v>
      </c>
      <c r="AH21" s="179">
        <f>V21*VLOOKUP("Hours",'Model Assumptions'!$B$50:$O$72,13,FALSE)*'Building Breakdown'!$H37*'Building Breakdown'!$I37/168</f>
        <v>0</v>
      </c>
      <c r="AI21" s="234">
        <f t="shared" si="7"/>
        <v>0</v>
      </c>
      <c r="AJ21" s="234">
        <f>'Building Breakdown'!AW37</f>
        <v>0</v>
      </c>
      <c r="AK21" s="234">
        <f t="shared" si="6"/>
        <v>0</v>
      </c>
      <c r="AL21" s="235">
        <f>IF(EXACT('Fabric Changes'!C21,"Yes"),IF('Building Breakdown'!$D$5="High_Security",(HLOOKUP(G21,'Model Assumptions'!$C$43:$E$45,3,FALSE)*'Building Breakdown'!S37),(HLOOKUP(G21,'Model Assumptions'!$C$43:$E$45,2,FALSE)*'Building Breakdown'!S37)),0)</f>
        <v>0</v>
      </c>
      <c r="AM21" s="236">
        <f>IF(EXACT('Fabric Changes'!D21,"Yes"),IF('Building Breakdown'!$D$5="High_Security",('Model Assumptions'!$G$45*'Building Breakdown'!T37),('Model Assumptions'!$G$44*'Building Breakdown'!T37)),0)</f>
        <v>0</v>
      </c>
      <c r="AN21" s="237">
        <f>IF(EXACT('Fabric Changes'!E21,"Yes"),IF('Building Breakdown'!$D$5="High_Security",(HLOOKUP(F21,'Model Assumptions'!C$43:K$45,3,FALSE)*'Building Breakdown'!U37),(HLOOKUP(F21,'Model Assumptions'!C$43:K$45,2,FALSE)*'Building Breakdown'!U37)),0)</f>
        <v>0</v>
      </c>
      <c r="AO21" s="238">
        <f t="shared" si="8"/>
        <v>0</v>
      </c>
      <c r="AP21" s="238">
        <f>IF('Building Breakdown'!$F37='Fabric Changes'!$AP$6,$AK21*'Building Breakdown'!$D$8,0)</f>
        <v>0</v>
      </c>
      <c r="AQ21" s="285">
        <f t="shared" si="9"/>
        <v>0</v>
      </c>
      <c r="AR21" s="287">
        <f>IF($AP21=0,0,$AK21*VLOOKUP('Building Breakdown'!$E$8,'Emission factors'!$C$4:$D$8,2,FALSE))</f>
        <v>0</v>
      </c>
      <c r="AS21" s="238">
        <f>IF('Building Breakdown'!$F37='Fabric Changes'!$AS$6,$AK21*'Building Breakdown'!$D$9,0)</f>
        <v>0</v>
      </c>
      <c r="AT21" s="285">
        <f t="shared" si="10"/>
        <v>0</v>
      </c>
      <c r="AU21" s="287">
        <f>IF($AS21=0,0,$AK21*VLOOKUP('Building Breakdown'!$E$9,'Emission factors'!$C$4:$D$8,2,FALSE))</f>
        <v>0</v>
      </c>
      <c r="AV21" s="238">
        <f>IF('Building Breakdown'!$F37='Fabric Changes'!$AV$6,$AK21*'Building Breakdown'!$D$10,0)</f>
        <v>0</v>
      </c>
      <c r="AW21" s="285">
        <f t="shared" si="5"/>
        <v>0</v>
      </c>
      <c r="AX21" s="287">
        <f>IF($AV21=0,0,$AK21*VLOOKUP('Building Breakdown'!$E$10,'Emission factors'!$C$4:$D$8,2,FALSE))</f>
        <v>0</v>
      </c>
      <c r="AY21" s="169"/>
    </row>
    <row r="22" spans="2:51" x14ac:dyDescent="0.3">
      <c r="B22" s="226" t="str">
        <f>IF('Building Breakdown'!C38="","",'Building Breakdown'!C38)</f>
        <v/>
      </c>
      <c r="C22" s="106"/>
      <c r="D22" s="106"/>
      <c r="E22" s="106"/>
      <c r="F22" s="106"/>
      <c r="G22" s="106"/>
      <c r="H22" s="177">
        <f>MIN(IF(EXACT('Fabric Changes'!C22,"Yes"),'Model Assumptions'!$B$21,'Building Breakdown'!V38),'Building Breakdown'!V38)</f>
        <v>0</v>
      </c>
      <c r="I22" s="178">
        <f>MIN(IF(EXACT('Fabric Changes'!D22,"Yes"),'Model Assumptions'!$D$21,'Building Breakdown'!W38),'Building Breakdown'!W38)</f>
        <v>0</v>
      </c>
      <c r="J22" s="182">
        <f>MIN(IF(EXACT('Fabric Changes'!E22,"Yes"),'Model Assumptions'!$E$21,'Building Breakdown'!X38),'Building Breakdown'!X38)</f>
        <v>0</v>
      </c>
      <c r="K22" s="177">
        <f>(((('Building Breakdown'!$S38*$H22)+('Building Breakdown'!$T38*$I22)+('Building Breakdown'!$U38*$J22))*('Building Breakdown'!$G38-(VLOOKUP('Building Breakdown'!$D$7,'Model Assumptions'!$B$50:$O$72,2,FALSE))))/1000)*'Building Breakdown'!$E38</f>
        <v>0</v>
      </c>
      <c r="L22" s="178">
        <f>(((('Building Breakdown'!$S38*$H22)+('Building Breakdown'!$T38*$I22)+('Building Breakdown'!$U38*$J22))*('Building Breakdown'!$G38-(VLOOKUP('Building Breakdown'!$D$7,'Model Assumptions'!$B$50:$O$72,3,FALSE))))/1000)*'Building Breakdown'!$E38</f>
        <v>0</v>
      </c>
      <c r="M22" s="178">
        <f>(((('Building Breakdown'!$S38*$H22)+('Building Breakdown'!$T38*$I22)+('Building Breakdown'!$U38*$J22))*('Building Breakdown'!$G38-(VLOOKUP('Building Breakdown'!$D$7,'Model Assumptions'!$B$50:$O$72,4,FALSE))))/1000)*'Building Breakdown'!$E38</f>
        <v>0</v>
      </c>
      <c r="N22" s="178">
        <f>(((('Building Breakdown'!$S38*$H22)+('Building Breakdown'!$T38*$I22)+('Building Breakdown'!$U38*$J22))*('Building Breakdown'!$G38-(VLOOKUP('Building Breakdown'!$D$7,'Model Assumptions'!$B$50:$O$72,5,FALSE))))/1000)*'Building Breakdown'!$E38</f>
        <v>0</v>
      </c>
      <c r="O22" s="178">
        <f>(((('Building Breakdown'!$S38*$H22)+('Building Breakdown'!$T38*$I22)+('Building Breakdown'!$U38*$J22))*('Building Breakdown'!$G38-(VLOOKUP('Building Breakdown'!$D$7,'Model Assumptions'!$B$50:$O$72,6,FALSE))))/1000)*'Building Breakdown'!$E38</f>
        <v>0</v>
      </c>
      <c r="P22" s="178">
        <f>(((('Building Breakdown'!$S38*$H22)+('Building Breakdown'!$T38*$I22)+('Building Breakdown'!$U38*$J22))*('Building Breakdown'!$G38-(VLOOKUP('Building Breakdown'!$D$7,'Model Assumptions'!$B$50:$O$72,7,FALSE))))/1000)*'Building Breakdown'!$E38</f>
        <v>0</v>
      </c>
      <c r="Q22" s="178">
        <f>(((('Building Breakdown'!$S38*$H22)+('Building Breakdown'!$T38*$I22)+('Building Breakdown'!$U38*$J22))*('Building Breakdown'!$G38-(VLOOKUP('Building Breakdown'!$D$7,'Model Assumptions'!$B$50:$O$72,8,FALSE))))/1000)*'Building Breakdown'!$E38</f>
        <v>0</v>
      </c>
      <c r="R22" s="178">
        <f>(((('Building Breakdown'!$S38*$H22)+('Building Breakdown'!$T38*$I22)+('Building Breakdown'!$U38*$J22))*('Building Breakdown'!$G38-(VLOOKUP('Building Breakdown'!$D$7,'Model Assumptions'!$B$50:$O$72,9,FALSE))))/1000)*'Building Breakdown'!$E38</f>
        <v>0</v>
      </c>
      <c r="S22" s="178">
        <f>(((('Building Breakdown'!$S38*$H22)+('Building Breakdown'!$T38*$I22)+('Building Breakdown'!$U38*$J22))*('Building Breakdown'!$G38-(VLOOKUP('Building Breakdown'!$D$7,'Model Assumptions'!$B$50:$O$72,10,FALSE))))/1000)*'Building Breakdown'!$E38</f>
        <v>0</v>
      </c>
      <c r="T22" s="178">
        <f>(((('Building Breakdown'!$S38*$H22)+('Building Breakdown'!$T38*$I22)+('Building Breakdown'!$U38*$J22))*('Building Breakdown'!$G38-(VLOOKUP('Building Breakdown'!$D$7,'Model Assumptions'!$B$50:$O$72,11,FALSE))))/1000)*'Building Breakdown'!$E38</f>
        <v>0</v>
      </c>
      <c r="U22" s="178">
        <f>(((('Building Breakdown'!$S38*$H22)+('Building Breakdown'!$T38*$I22)+('Building Breakdown'!$U38*$J22))*('Building Breakdown'!$G38-(VLOOKUP('Building Breakdown'!$D$7,'Model Assumptions'!$B$50:$O$72,12,FALSE))))/1000)*'Building Breakdown'!$E38</f>
        <v>0</v>
      </c>
      <c r="V22" s="179">
        <f>(((('Building Breakdown'!$S38*$H22)+('Building Breakdown'!$T38*$I22)+('Building Breakdown'!$U38*$J22))*('Building Breakdown'!$G38-(VLOOKUP('Building Breakdown'!$D$7,'Model Assumptions'!$B$50:$O$72,13,FALSE))))/1000)*'Building Breakdown'!$E38</f>
        <v>0</v>
      </c>
      <c r="W22" s="177">
        <f>K22*VLOOKUP("Hours",'Model Assumptions'!$B$50:$O$72,2,FALSE)*'Building Breakdown'!$H38*'Building Breakdown'!$I38/168</f>
        <v>0</v>
      </c>
      <c r="X22" s="178">
        <f>L22*VLOOKUP("Hours",'Model Assumptions'!$B$50:$O$72,3,FALSE)*'Building Breakdown'!$H38*'Building Breakdown'!$I38/168</f>
        <v>0</v>
      </c>
      <c r="Y22" s="178">
        <f>M22*VLOOKUP("Hours",'Model Assumptions'!$B$50:$O$72,4,FALSE)*'Building Breakdown'!$H38*'Building Breakdown'!$I38/168</f>
        <v>0</v>
      </c>
      <c r="Z22" s="178">
        <f>N22*VLOOKUP("Hours",'Model Assumptions'!$B$50:$O$72,5,FALSE)*'Building Breakdown'!$H38*'Building Breakdown'!$I38/168</f>
        <v>0</v>
      </c>
      <c r="AA22" s="178">
        <f>O22*VLOOKUP("Hours",'Model Assumptions'!$B$50:$O$72,6,FALSE)*'Building Breakdown'!$H38*'Building Breakdown'!$I38/168</f>
        <v>0</v>
      </c>
      <c r="AB22" s="178">
        <f>P22*VLOOKUP("Hours",'Model Assumptions'!$B$50:$O$72,7,FALSE)*'Building Breakdown'!$H38*'Building Breakdown'!$I38/168</f>
        <v>0</v>
      </c>
      <c r="AC22" s="178">
        <f>Q22*VLOOKUP("Hours",'Model Assumptions'!$B$50:$O$72,8,FALSE)*'Building Breakdown'!$H38*'Building Breakdown'!$I38/168</f>
        <v>0</v>
      </c>
      <c r="AD22" s="178">
        <f>R22*VLOOKUP("Hours",'Model Assumptions'!$B$50:$O$72,9,FALSE)*'Building Breakdown'!$H38*'Building Breakdown'!$I38/168</f>
        <v>0</v>
      </c>
      <c r="AE22" s="178">
        <f>S22*VLOOKUP("Hours",'Model Assumptions'!$B$50:$O$72,10,FALSE)*'Building Breakdown'!$H38*'Building Breakdown'!$I38/168</f>
        <v>0</v>
      </c>
      <c r="AF22" s="178">
        <f>T22*VLOOKUP("Hours",'Model Assumptions'!$B$50:$O$72,11,FALSE)*'Building Breakdown'!$H38*'Building Breakdown'!$I38/168</f>
        <v>0</v>
      </c>
      <c r="AG22" s="178">
        <f>U22*VLOOKUP("Hours",'Model Assumptions'!$B$50:$O$72,12,FALSE)*'Building Breakdown'!$H38*'Building Breakdown'!$I38/168</f>
        <v>0</v>
      </c>
      <c r="AH22" s="179">
        <f>V22*VLOOKUP("Hours",'Model Assumptions'!$B$50:$O$72,13,FALSE)*'Building Breakdown'!$H38*'Building Breakdown'!$I38/168</f>
        <v>0</v>
      </c>
      <c r="AI22" s="234">
        <f t="shared" si="7"/>
        <v>0</v>
      </c>
      <c r="AJ22" s="234">
        <f>'Building Breakdown'!AW38</f>
        <v>0</v>
      </c>
      <c r="AK22" s="234">
        <f t="shared" si="6"/>
        <v>0</v>
      </c>
      <c r="AL22" s="235">
        <f>IF(EXACT('Fabric Changes'!C22,"Yes"),IF('Building Breakdown'!$D$5="High_Security",(HLOOKUP(G22,'Model Assumptions'!$C$43:$E$45,3,FALSE)*'Building Breakdown'!S38),(HLOOKUP(G22,'Model Assumptions'!$C$43:$E$45,2,FALSE)*'Building Breakdown'!S38)),0)</f>
        <v>0</v>
      </c>
      <c r="AM22" s="236">
        <f>IF(EXACT('Fabric Changes'!D22,"Yes"),IF('Building Breakdown'!$D$5="High_Security",('Model Assumptions'!$G$45*'Building Breakdown'!T38),('Model Assumptions'!$G$44*'Building Breakdown'!T38)),0)</f>
        <v>0</v>
      </c>
      <c r="AN22" s="237">
        <f>IF(EXACT('Fabric Changes'!E22,"Yes"),IF('Building Breakdown'!$D$5="High_Security",(HLOOKUP(F22,'Model Assumptions'!C$43:K$45,3,FALSE)*'Building Breakdown'!U38),(HLOOKUP(F22,'Model Assumptions'!C$43:K$45,2,FALSE)*'Building Breakdown'!U38)),0)</f>
        <v>0</v>
      </c>
      <c r="AO22" s="238">
        <f t="shared" si="8"/>
        <v>0</v>
      </c>
      <c r="AP22" s="238">
        <f>IF('Building Breakdown'!$F38='Fabric Changes'!$AP$6,$AK22*'Building Breakdown'!$D$8,0)</f>
        <v>0</v>
      </c>
      <c r="AQ22" s="285">
        <f t="shared" si="9"/>
        <v>0</v>
      </c>
      <c r="AR22" s="287">
        <f>IF($AP22=0,0,$AK22*VLOOKUP('Building Breakdown'!$E$8,'Emission factors'!$C$4:$D$8,2,FALSE))</f>
        <v>0</v>
      </c>
      <c r="AS22" s="238">
        <f>IF('Building Breakdown'!$F38='Fabric Changes'!$AS$6,$AK22*'Building Breakdown'!$D$9,0)</f>
        <v>0</v>
      </c>
      <c r="AT22" s="285">
        <f t="shared" si="10"/>
        <v>0</v>
      </c>
      <c r="AU22" s="287">
        <f>IF($AS22=0,0,$AK22*VLOOKUP('Building Breakdown'!$E$9,'Emission factors'!$C$4:$D$8,2,FALSE))</f>
        <v>0</v>
      </c>
      <c r="AV22" s="238">
        <f>IF('Building Breakdown'!$F38='Fabric Changes'!$AV$6,$AK22*'Building Breakdown'!$D$10,0)</f>
        <v>0</v>
      </c>
      <c r="AW22" s="285">
        <f t="shared" si="5"/>
        <v>0</v>
      </c>
      <c r="AX22" s="287">
        <f>IF($AV22=0,0,$AK22*VLOOKUP('Building Breakdown'!$E$10,'Emission factors'!$C$4:$D$8,2,FALSE))</f>
        <v>0</v>
      </c>
      <c r="AY22" s="169"/>
    </row>
    <row r="23" spans="2:51" x14ac:dyDescent="0.3">
      <c r="B23" s="226" t="str">
        <f>IF('Building Breakdown'!C39="","",'Building Breakdown'!C39)</f>
        <v/>
      </c>
      <c r="C23" s="106"/>
      <c r="D23" s="106"/>
      <c r="E23" s="106"/>
      <c r="F23" s="106"/>
      <c r="G23" s="106"/>
      <c r="H23" s="177">
        <f>MIN(IF(EXACT('Fabric Changes'!C23,"Yes"),'Model Assumptions'!$B$21,'Building Breakdown'!V39),'Building Breakdown'!V39)</f>
        <v>0</v>
      </c>
      <c r="I23" s="178">
        <f>MIN(IF(EXACT('Fabric Changes'!D23,"Yes"),'Model Assumptions'!$D$21,'Building Breakdown'!W39),'Building Breakdown'!W39)</f>
        <v>0</v>
      </c>
      <c r="J23" s="182">
        <f>MIN(IF(EXACT('Fabric Changes'!E23,"Yes"),'Model Assumptions'!$E$21,'Building Breakdown'!X39),'Building Breakdown'!X39)</f>
        <v>0</v>
      </c>
      <c r="K23" s="177">
        <f>(((('Building Breakdown'!$S39*$H23)+('Building Breakdown'!$T39*$I23)+('Building Breakdown'!$U39*$J23))*('Building Breakdown'!$G39-(VLOOKUP('Building Breakdown'!$D$7,'Model Assumptions'!$B$50:$O$72,2,FALSE))))/1000)*'Building Breakdown'!$E39</f>
        <v>0</v>
      </c>
      <c r="L23" s="178">
        <f>(((('Building Breakdown'!$S39*$H23)+('Building Breakdown'!$T39*$I23)+('Building Breakdown'!$U39*$J23))*('Building Breakdown'!$G39-(VLOOKUP('Building Breakdown'!$D$7,'Model Assumptions'!$B$50:$O$72,3,FALSE))))/1000)*'Building Breakdown'!$E39</f>
        <v>0</v>
      </c>
      <c r="M23" s="178">
        <f>(((('Building Breakdown'!$S39*$H23)+('Building Breakdown'!$T39*$I23)+('Building Breakdown'!$U39*$J23))*('Building Breakdown'!$G39-(VLOOKUP('Building Breakdown'!$D$7,'Model Assumptions'!$B$50:$O$72,4,FALSE))))/1000)*'Building Breakdown'!$E39</f>
        <v>0</v>
      </c>
      <c r="N23" s="178">
        <f>(((('Building Breakdown'!$S39*$H23)+('Building Breakdown'!$T39*$I23)+('Building Breakdown'!$U39*$J23))*('Building Breakdown'!$G39-(VLOOKUP('Building Breakdown'!$D$7,'Model Assumptions'!$B$50:$O$72,5,FALSE))))/1000)*'Building Breakdown'!$E39</f>
        <v>0</v>
      </c>
      <c r="O23" s="178">
        <f>(((('Building Breakdown'!$S39*$H23)+('Building Breakdown'!$T39*$I23)+('Building Breakdown'!$U39*$J23))*('Building Breakdown'!$G39-(VLOOKUP('Building Breakdown'!$D$7,'Model Assumptions'!$B$50:$O$72,6,FALSE))))/1000)*'Building Breakdown'!$E39</f>
        <v>0</v>
      </c>
      <c r="P23" s="178">
        <f>(((('Building Breakdown'!$S39*$H23)+('Building Breakdown'!$T39*$I23)+('Building Breakdown'!$U39*$J23))*('Building Breakdown'!$G39-(VLOOKUP('Building Breakdown'!$D$7,'Model Assumptions'!$B$50:$O$72,7,FALSE))))/1000)*'Building Breakdown'!$E39</f>
        <v>0</v>
      </c>
      <c r="Q23" s="178">
        <f>(((('Building Breakdown'!$S39*$H23)+('Building Breakdown'!$T39*$I23)+('Building Breakdown'!$U39*$J23))*('Building Breakdown'!$G39-(VLOOKUP('Building Breakdown'!$D$7,'Model Assumptions'!$B$50:$O$72,8,FALSE))))/1000)*'Building Breakdown'!$E39</f>
        <v>0</v>
      </c>
      <c r="R23" s="178">
        <f>(((('Building Breakdown'!$S39*$H23)+('Building Breakdown'!$T39*$I23)+('Building Breakdown'!$U39*$J23))*('Building Breakdown'!$G39-(VLOOKUP('Building Breakdown'!$D$7,'Model Assumptions'!$B$50:$O$72,9,FALSE))))/1000)*'Building Breakdown'!$E39</f>
        <v>0</v>
      </c>
      <c r="S23" s="178">
        <f>(((('Building Breakdown'!$S39*$H23)+('Building Breakdown'!$T39*$I23)+('Building Breakdown'!$U39*$J23))*('Building Breakdown'!$G39-(VLOOKUP('Building Breakdown'!$D$7,'Model Assumptions'!$B$50:$O$72,10,FALSE))))/1000)*'Building Breakdown'!$E39</f>
        <v>0</v>
      </c>
      <c r="T23" s="178">
        <f>(((('Building Breakdown'!$S39*$H23)+('Building Breakdown'!$T39*$I23)+('Building Breakdown'!$U39*$J23))*('Building Breakdown'!$G39-(VLOOKUP('Building Breakdown'!$D$7,'Model Assumptions'!$B$50:$O$72,11,FALSE))))/1000)*'Building Breakdown'!$E39</f>
        <v>0</v>
      </c>
      <c r="U23" s="178">
        <f>(((('Building Breakdown'!$S39*$H23)+('Building Breakdown'!$T39*$I23)+('Building Breakdown'!$U39*$J23))*('Building Breakdown'!$G39-(VLOOKUP('Building Breakdown'!$D$7,'Model Assumptions'!$B$50:$O$72,12,FALSE))))/1000)*'Building Breakdown'!$E39</f>
        <v>0</v>
      </c>
      <c r="V23" s="179">
        <f>(((('Building Breakdown'!$S39*$H23)+('Building Breakdown'!$T39*$I23)+('Building Breakdown'!$U39*$J23))*('Building Breakdown'!$G39-(VLOOKUP('Building Breakdown'!$D$7,'Model Assumptions'!$B$50:$O$72,13,FALSE))))/1000)*'Building Breakdown'!$E39</f>
        <v>0</v>
      </c>
      <c r="W23" s="177">
        <f>K23*VLOOKUP("Hours",'Model Assumptions'!$B$50:$O$72,2,FALSE)*'Building Breakdown'!$H39*'Building Breakdown'!$I39/168</f>
        <v>0</v>
      </c>
      <c r="X23" s="178">
        <f>L23*VLOOKUP("Hours",'Model Assumptions'!$B$50:$O$72,3,FALSE)*'Building Breakdown'!$H39*'Building Breakdown'!$I39/168</f>
        <v>0</v>
      </c>
      <c r="Y23" s="178">
        <f>M23*VLOOKUP("Hours",'Model Assumptions'!$B$50:$O$72,4,FALSE)*'Building Breakdown'!$H39*'Building Breakdown'!$I39/168</f>
        <v>0</v>
      </c>
      <c r="Z23" s="178">
        <f>N23*VLOOKUP("Hours",'Model Assumptions'!$B$50:$O$72,5,FALSE)*'Building Breakdown'!$H39*'Building Breakdown'!$I39/168</f>
        <v>0</v>
      </c>
      <c r="AA23" s="178">
        <f>O23*VLOOKUP("Hours",'Model Assumptions'!$B$50:$O$72,6,FALSE)*'Building Breakdown'!$H39*'Building Breakdown'!$I39/168</f>
        <v>0</v>
      </c>
      <c r="AB23" s="178">
        <f>P23*VLOOKUP("Hours",'Model Assumptions'!$B$50:$O$72,7,FALSE)*'Building Breakdown'!$H39*'Building Breakdown'!$I39/168</f>
        <v>0</v>
      </c>
      <c r="AC23" s="178">
        <f>Q23*VLOOKUP("Hours",'Model Assumptions'!$B$50:$O$72,8,FALSE)*'Building Breakdown'!$H39*'Building Breakdown'!$I39/168</f>
        <v>0</v>
      </c>
      <c r="AD23" s="178">
        <f>R23*VLOOKUP("Hours",'Model Assumptions'!$B$50:$O$72,9,FALSE)*'Building Breakdown'!$H39*'Building Breakdown'!$I39/168</f>
        <v>0</v>
      </c>
      <c r="AE23" s="178">
        <f>S23*VLOOKUP("Hours",'Model Assumptions'!$B$50:$O$72,10,FALSE)*'Building Breakdown'!$H39*'Building Breakdown'!$I39/168</f>
        <v>0</v>
      </c>
      <c r="AF23" s="178">
        <f>T23*VLOOKUP("Hours",'Model Assumptions'!$B$50:$O$72,11,FALSE)*'Building Breakdown'!$H39*'Building Breakdown'!$I39/168</f>
        <v>0</v>
      </c>
      <c r="AG23" s="178">
        <f>U23*VLOOKUP("Hours",'Model Assumptions'!$B$50:$O$72,12,FALSE)*'Building Breakdown'!$H39*'Building Breakdown'!$I39/168</f>
        <v>0</v>
      </c>
      <c r="AH23" s="179">
        <f>V23*VLOOKUP("Hours",'Model Assumptions'!$B$50:$O$72,13,FALSE)*'Building Breakdown'!$H39*'Building Breakdown'!$I39/168</f>
        <v>0</v>
      </c>
      <c r="AI23" s="234">
        <f>SUM(W23:AH23)</f>
        <v>0</v>
      </c>
      <c r="AJ23" s="234">
        <f>'Building Breakdown'!AW39</f>
        <v>0</v>
      </c>
      <c r="AK23" s="234">
        <f t="shared" si="6"/>
        <v>0</v>
      </c>
      <c r="AL23" s="235">
        <f>IF(EXACT('Fabric Changes'!C23,"Yes"),IF('Building Breakdown'!$D$5="High_Security",(HLOOKUP(G23,'Model Assumptions'!$C$43:$E$45,3,FALSE)*'Building Breakdown'!S39),(HLOOKUP(G23,'Model Assumptions'!$C$43:$E$45,2,FALSE)*'Building Breakdown'!S39)),0)</f>
        <v>0</v>
      </c>
      <c r="AM23" s="236">
        <f>IF(EXACT('Fabric Changes'!D23,"Yes"),IF('Building Breakdown'!$D$5="High_Security",('Model Assumptions'!$G$45*'Building Breakdown'!T39),('Model Assumptions'!$G$44*'Building Breakdown'!T39)),0)</f>
        <v>0</v>
      </c>
      <c r="AN23" s="237">
        <f>IF(EXACT('Fabric Changes'!E23,"Yes"),IF('Building Breakdown'!$D$5="High_Security",(HLOOKUP(F23,'Model Assumptions'!C$43:K$45,3,FALSE)*'Building Breakdown'!U39),(HLOOKUP(F23,'Model Assumptions'!C$43:K$45,2,FALSE)*'Building Breakdown'!U39)),0)</f>
        <v>0</v>
      </c>
      <c r="AO23" s="238">
        <f t="shared" si="8"/>
        <v>0</v>
      </c>
      <c r="AP23" s="238">
        <f>IF('Building Breakdown'!$F39='Fabric Changes'!$AP$6,$AK23*'Building Breakdown'!$D$8,0)</f>
        <v>0</v>
      </c>
      <c r="AQ23" s="285">
        <f t="shared" si="9"/>
        <v>0</v>
      </c>
      <c r="AR23" s="287">
        <f>IF($AP23=0,0,$AK23*VLOOKUP('Building Breakdown'!$E$8,'Emission factors'!$C$4:$D$8,2,FALSE))</f>
        <v>0</v>
      </c>
      <c r="AS23" s="238">
        <f>IF('Building Breakdown'!$F39='Fabric Changes'!$AS$6,$AK23*'Building Breakdown'!$D$9,0)</f>
        <v>0</v>
      </c>
      <c r="AT23" s="285">
        <f t="shared" si="10"/>
        <v>0</v>
      </c>
      <c r="AU23" s="287">
        <f>IF($AS23=0,0,$AK23*VLOOKUP('Building Breakdown'!$E$9,'Emission factors'!$C$4:$D$8,2,FALSE))</f>
        <v>0</v>
      </c>
      <c r="AV23" s="238">
        <f>IF('Building Breakdown'!$F39='Fabric Changes'!$AV$6,$AK23*'Building Breakdown'!$D$10,0)</f>
        <v>0</v>
      </c>
      <c r="AW23" s="285">
        <f t="shared" si="5"/>
        <v>0</v>
      </c>
      <c r="AX23" s="287">
        <f>IF($AV23=0,0,$AK23*VLOOKUP('Building Breakdown'!$E$10,'Emission factors'!$C$4:$D$8,2,FALSE))</f>
        <v>0</v>
      </c>
      <c r="AY23" s="169"/>
    </row>
    <row r="24" spans="2:51" x14ac:dyDescent="0.3">
      <c r="B24" s="226" t="str">
        <f>IF('Building Breakdown'!C40="","",'Building Breakdown'!C40)</f>
        <v/>
      </c>
      <c r="C24" s="106"/>
      <c r="D24" s="106"/>
      <c r="E24" s="106"/>
      <c r="F24" s="106"/>
      <c r="G24" s="106"/>
      <c r="H24" s="177">
        <f>MIN(IF(EXACT('Fabric Changes'!C24,"Yes"),'Model Assumptions'!$B$21,'Building Breakdown'!V40),'Building Breakdown'!V40)</f>
        <v>0</v>
      </c>
      <c r="I24" s="178">
        <f>MIN(IF(EXACT('Fabric Changes'!D24,"Yes"),'Model Assumptions'!$D$21,'Building Breakdown'!W40),'Building Breakdown'!W40)</f>
        <v>0</v>
      </c>
      <c r="J24" s="182">
        <f>MIN(IF(EXACT('Fabric Changes'!E24,"Yes"),'Model Assumptions'!$E$21,'Building Breakdown'!X40),'Building Breakdown'!X40)</f>
        <v>0</v>
      </c>
      <c r="K24" s="177">
        <f>(((('Building Breakdown'!$S40*$H24)+('Building Breakdown'!$T40*$I24)+('Building Breakdown'!$U40*$J24))*('Building Breakdown'!$G40-(VLOOKUP('Building Breakdown'!$D$7,'Model Assumptions'!$B$50:$O$72,2,FALSE))))/1000)*'Building Breakdown'!$E40</f>
        <v>0</v>
      </c>
      <c r="L24" s="178">
        <f>(((('Building Breakdown'!$S40*$H24)+('Building Breakdown'!$T40*$I24)+('Building Breakdown'!$U40*$J24))*('Building Breakdown'!$G40-(VLOOKUP('Building Breakdown'!$D$7,'Model Assumptions'!$B$50:$O$72,3,FALSE))))/1000)*'Building Breakdown'!$E40</f>
        <v>0</v>
      </c>
      <c r="M24" s="178">
        <f>(((('Building Breakdown'!$S40*$H24)+('Building Breakdown'!$T40*$I24)+('Building Breakdown'!$U40*$J24))*('Building Breakdown'!$G40-(VLOOKUP('Building Breakdown'!$D$7,'Model Assumptions'!$B$50:$O$72,4,FALSE))))/1000)*'Building Breakdown'!$E40</f>
        <v>0</v>
      </c>
      <c r="N24" s="178">
        <f>(((('Building Breakdown'!$S40*$H24)+('Building Breakdown'!$T40*$I24)+('Building Breakdown'!$U40*$J24))*('Building Breakdown'!$G40-(VLOOKUP('Building Breakdown'!$D$7,'Model Assumptions'!$B$50:$O$72,5,FALSE))))/1000)*'Building Breakdown'!$E40</f>
        <v>0</v>
      </c>
      <c r="O24" s="178">
        <f>(((('Building Breakdown'!$S40*$H24)+('Building Breakdown'!$T40*$I24)+('Building Breakdown'!$U40*$J24))*('Building Breakdown'!$G40-(VLOOKUP('Building Breakdown'!$D$7,'Model Assumptions'!$B$50:$O$72,6,FALSE))))/1000)*'Building Breakdown'!$E40</f>
        <v>0</v>
      </c>
      <c r="P24" s="178">
        <f>(((('Building Breakdown'!$S40*$H24)+('Building Breakdown'!$T40*$I24)+('Building Breakdown'!$U40*$J24))*('Building Breakdown'!$G40-(VLOOKUP('Building Breakdown'!$D$7,'Model Assumptions'!$B$50:$O$72,7,FALSE))))/1000)*'Building Breakdown'!$E40</f>
        <v>0</v>
      </c>
      <c r="Q24" s="178">
        <f>(((('Building Breakdown'!$S40*$H24)+('Building Breakdown'!$T40*$I24)+('Building Breakdown'!$U40*$J24))*('Building Breakdown'!$G40-(VLOOKUP('Building Breakdown'!$D$7,'Model Assumptions'!$B$50:$O$72,8,FALSE))))/1000)*'Building Breakdown'!$E40</f>
        <v>0</v>
      </c>
      <c r="R24" s="178">
        <f>(((('Building Breakdown'!$S40*$H24)+('Building Breakdown'!$T40*$I24)+('Building Breakdown'!$U40*$J24))*('Building Breakdown'!$G40-(VLOOKUP('Building Breakdown'!$D$7,'Model Assumptions'!$B$50:$O$72,9,FALSE))))/1000)*'Building Breakdown'!$E40</f>
        <v>0</v>
      </c>
      <c r="S24" s="178">
        <f>(((('Building Breakdown'!$S40*$H24)+('Building Breakdown'!$T40*$I24)+('Building Breakdown'!$U40*$J24))*('Building Breakdown'!$G40-(VLOOKUP('Building Breakdown'!$D$7,'Model Assumptions'!$B$50:$O$72,10,FALSE))))/1000)*'Building Breakdown'!$E40</f>
        <v>0</v>
      </c>
      <c r="T24" s="178">
        <f>(((('Building Breakdown'!$S40*$H24)+('Building Breakdown'!$T40*$I24)+('Building Breakdown'!$U40*$J24))*('Building Breakdown'!$G40-(VLOOKUP('Building Breakdown'!$D$7,'Model Assumptions'!$B$50:$O$72,11,FALSE))))/1000)*'Building Breakdown'!$E40</f>
        <v>0</v>
      </c>
      <c r="U24" s="178">
        <f>(((('Building Breakdown'!$S40*$H24)+('Building Breakdown'!$T40*$I24)+('Building Breakdown'!$U40*$J24))*('Building Breakdown'!$G40-(VLOOKUP('Building Breakdown'!$D$7,'Model Assumptions'!$B$50:$O$72,12,FALSE))))/1000)*'Building Breakdown'!$E40</f>
        <v>0</v>
      </c>
      <c r="V24" s="179">
        <f>(((('Building Breakdown'!$S40*$H24)+('Building Breakdown'!$T40*$I24)+('Building Breakdown'!$U40*$J24))*('Building Breakdown'!$G40-(VLOOKUP('Building Breakdown'!$D$7,'Model Assumptions'!$B$50:$O$72,13,FALSE))))/1000)*'Building Breakdown'!$E40</f>
        <v>0</v>
      </c>
      <c r="W24" s="177">
        <f>K24*VLOOKUP("Hours",'Model Assumptions'!$B$50:$O$72,2,FALSE)*'Building Breakdown'!$H40*'Building Breakdown'!$I40/168</f>
        <v>0</v>
      </c>
      <c r="X24" s="178">
        <f>L24*VLOOKUP("Hours",'Model Assumptions'!$B$50:$O$72,3,FALSE)*'Building Breakdown'!$H40*'Building Breakdown'!$I40/168</f>
        <v>0</v>
      </c>
      <c r="Y24" s="178">
        <f>M24*VLOOKUP("Hours",'Model Assumptions'!$B$50:$O$72,4,FALSE)*'Building Breakdown'!$H40*'Building Breakdown'!$I40/168</f>
        <v>0</v>
      </c>
      <c r="Z24" s="178">
        <f>N24*VLOOKUP("Hours",'Model Assumptions'!$B$50:$O$72,5,FALSE)*'Building Breakdown'!$H40*'Building Breakdown'!$I40/168</f>
        <v>0</v>
      </c>
      <c r="AA24" s="178">
        <f>O24*VLOOKUP("Hours",'Model Assumptions'!$B$50:$O$72,6,FALSE)*'Building Breakdown'!$H40*'Building Breakdown'!$I40/168</f>
        <v>0</v>
      </c>
      <c r="AB24" s="178">
        <f>P24*VLOOKUP("Hours",'Model Assumptions'!$B$50:$O$72,7,FALSE)*'Building Breakdown'!$H40*'Building Breakdown'!$I40/168</f>
        <v>0</v>
      </c>
      <c r="AC24" s="178">
        <f>Q24*VLOOKUP("Hours",'Model Assumptions'!$B$50:$O$72,8,FALSE)*'Building Breakdown'!$H40*'Building Breakdown'!$I40/168</f>
        <v>0</v>
      </c>
      <c r="AD24" s="178">
        <f>R24*VLOOKUP("Hours",'Model Assumptions'!$B$50:$O$72,9,FALSE)*'Building Breakdown'!$H40*'Building Breakdown'!$I40/168</f>
        <v>0</v>
      </c>
      <c r="AE24" s="178">
        <f>S24*VLOOKUP("Hours",'Model Assumptions'!$B$50:$O$72,10,FALSE)*'Building Breakdown'!$H40*'Building Breakdown'!$I40/168</f>
        <v>0</v>
      </c>
      <c r="AF24" s="178">
        <f>T24*VLOOKUP("Hours",'Model Assumptions'!$B$50:$O$72,11,FALSE)*'Building Breakdown'!$H40*'Building Breakdown'!$I40/168</f>
        <v>0</v>
      </c>
      <c r="AG24" s="178">
        <f>U24*VLOOKUP("Hours",'Model Assumptions'!$B$50:$O$72,12,FALSE)*'Building Breakdown'!$H40*'Building Breakdown'!$I40/168</f>
        <v>0</v>
      </c>
      <c r="AH24" s="179">
        <f>V24*VLOOKUP("Hours",'Model Assumptions'!$B$50:$O$72,13,FALSE)*'Building Breakdown'!$H40*'Building Breakdown'!$I40/168</f>
        <v>0</v>
      </c>
      <c r="AI24" s="234">
        <f t="shared" ref="AI24:AI38" si="11">SUM(W24:AH24)</f>
        <v>0</v>
      </c>
      <c r="AJ24" s="234">
        <f>'Building Breakdown'!AW40</f>
        <v>0</v>
      </c>
      <c r="AK24" s="234">
        <f t="shared" si="6"/>
        <v>0</v>
      </c>
      <c r="AL24" s="235">
        <f>IF(EXACT('Fabric Changes'!C24,"Yes"),IF('Building Breakdown'!$D$5="High_Security",(HLOOKUP(G24,'Model Assumptions'!$C$43:$E$45,3,FALSE)*'Building Breakdown'!S40),(HLOOKUP(G24,'Model Assumptions'!$C$43:$E$45,2,FALSE)*'Building Breakdown'!S40)),0)</f>
        <v>0</v>
      </c>
      <c r="AM24" s="236">
        <f>IF(EXACT('Fabric Changes'!D24,"Yes"),IF('Building Breakdown'!$D$5="High_Security",('Model Assumptions'!$G$45*'Building Breakdown'!T40),('Model Assumptions'!$G$44*'Building Breakdown'!T40)),0)</f>
        <v>0</v>
      </c>
      <c r="AN24" s="237">
        <f>IF(EXACT('Fabric Changes'!E24,"Yes"),IF('Building Breakdown'!$D$5="High_Security",(HLOOKUP(F24,'Model Assumptions'!C$43:K$45,3,FALSE)*'Building Breakdown'!U40),(HLOOKUP(F24,'Model Assumptions'!C$43:K$45,2,FALSE)*'Building Breakdown'!U40)),0)</f>
        <v>0</v>
      </c>
      <c r="AO24" s="238">
        <f t="shared" ref="AO24:AO38" si="12">SUM(AL24:AN24)</f>
        <v>0</v>
      </c>
      <c r="AP24" s="238">
        <f>IF('Building Breakdown'!$F40='Fabric Changes'!$AP$6,$AK24*'Building Breakdown'!$D$8,0)</f>
        <v>0</v>
      </c>
      <c r="AQ24" s="285">
        <f t="shared" ref="AQ24:AQ38" si="13">IFERROR($AO24/AP24,0)</f>
        <v>0</v>
      </c>
      <c r="AR24" s="287">
        <f>IF($AP24=0,0,$AK24*VLOOKUP('Building Breakdown'!$E$8,'Emission factors'!$C$4:$D$8,2,FALSE))</f>
        <v>0</v>
      </c>
      <c r="AS24" s="238">
        <f>IF('Building Breakdown'!$F40='Fabric Changes'!$AS$6,$AK24*'Building Breakdown'!$D$9,0)</f>
        <v>0</v>
      </c>
      <c r="AT24" s="285">
        <f t="shared" ref="AT24:AT38" si="14">IFERROR($AO24/AS24,0)</f>
        <v>0</v>
      </c>
      <c r="AU24" s="287">
        <f>IF($AS24=0,0,$AK24*VLOOKUP('Building Breakdown'!$E$9,'Emission factors'!$C$4:$D$8,2,FALSE))</f>
        <v>0</v>
      </c>
      <c r="AV24" s="238">
        <f>IF('Building Breakdown'!$F40='Fabric Changes'!$AV$6,$AK24*'Building Breakdown'!$D$10,0)</f>
        <v>0</v>
      </c>
      <c r="AW24" s="285">
        <f t="shared" si="5"/>
        <v>0</v>
      </c>
      <c r="AX24" s="287">
        <f>IF($AV24=0,0,$AK24*VLOOKUP('Building Breakdown'!$E$10,'Emission factors'!$C$4:$D$8,2,FALSE))</f>
        <v>0</v>
      </c>
      <c r="AY24" s="169"/>
    </row>
    <row r="25" spans="2:51" x14ac:dyDescent="0.3">
      <c r="B25" s="226" t="str">
        <f>IF('Building Breakdown'!C41="","",'Building Breakdown'!C41)</f>
        <v/>
      </c>
      <c r="C25" s="106"/>
      <c r="D25" s="106"/>
      <c r="E25" s="106"/>
      <c r="F25" s="106"/>
      <c r="G25" s="106"/>
      <c r="H25" s="177">
        <f>MIN(IF(EXACT('Fabric Changes'!C25,"Yes"),'Model Assumptions'!$B$21,'Building Breakdown'!V41),'Building Breakdown'!V41)</f>
        <v>0</v>
      </c>
      <c r="I25" s="178">
        <f>MIN(IF(EXACT('Fabric Changes'!D25,"Yes"),'Model Assumptions'!$D$21,'Building Breakdown'!W41),'Building Breakdown'!W41)</f>
        <v>0</v>
      </c>
      <c r="J25" s="182">
        <f>MIN(IF(EXACT('Fabric Changes'!E25,"Yes"),'Model Assumptions'!$E$21,'Building Breakdown'!X41),'Building Breakdown'!X41)</f>
        <v>0</v>
      </c>
      <c r="K25" s="177">
        <f>(((('Building Breakdown'!$S41*$H25)+('Building Breakdown'!$T41*$I25)+('Building Breakdown'!$U41*$J25))*('Building Breakdown'!$G41-(VLOOKUP('Building Breakdown'!$D$7,'Model Assumptions'!$B$50:$O$72,2,FALSE))))/1000)*'Building Breakdown'!$E41</f>
        <v>0</v>
      </c>
      <c r="L25" s="178">
        <f>(((('Building Breakdown'!$S41*$H25)+('Building Breakdown'!$T41*$I25)+('Building Breakdown'!$U41*$J25))*('Building Breakdown'!$G41-(VLOOKUP('Building Breakdown'!$D$7,'Model Assumptions'!$B$50:$O$72,3,FALSE))))/1000)*'Building Breakdown'!$E41</f>
        <v>0</v>
      </c>
      <c r="M25" s="178">
        <f>(((('Building Breakdown'!$S41*$H25)+('Building Breakdown'!$T41*$I25)+('Building Breakdown'!$U41*$J25))*('Building Breakdown'!$G41-(VLOOKUP('Building Breakdown'!$D$7,'Model Assumptions'!$B$50:$O$72,4,FALSE))))/1000)*'Building Breakdown'!$E41</f>
        <v>0</v>
      </c>
      <c r="N25" s="178">
        <f>(((('Building Breakdown'!$S41*$H25)+('Building Breakdown'!$T41*$I25)+('Building Breakdown'!$U41*$J25))*('Building Breakdown'!$G41-(VLOOKUP('Building Breakdown'!$D$7,'Model Assumptions'!$B$50:$O$72,5,FALSE))))/1000)*'Building Breakdown'!$E41</f>
        <v>0</v>
      </c>
      <c r="O25" s="178">
        <f>(((('Building Breakdown'!$S41*$H25)+('Building Breakdown'!$T41*$I25)+('Building Breakdown'!$U41*$J25))*('Building Breakdown'!$G41-(VLOOKUP('Building Breakdown'!$D$7,'Model Assumptions'!$B$50:$O$72,6,FALSE))))/1000)*'Building Breakdown'!$E41</f>
        <v>0</v>
      </c>
      <c r="P25" s="178">
        <f>(((('Building Breakdown'!$S41*$H25)+('Building Breakdown'!$T41*$I25)+('Building Breakdown'!$U41*$J25))*('Building Breakdown'!$G41-(VLOOKUP('Building Breakdown'!$D$7,'Model Assumptions'!$B$50:$O$72,7,FALSE))))/1000)*'Building Breakdown'!$E41</f>
        <v>0</v>
      </c>
      <c r="Q25" s="178">
        <f>(((('Building Breakdown'!$S41*$H25)+('Building Breakdown'!$T41*$I25)+('Building Breakdown'!$U41*$J25))*('Building Breakdown'!$G41-(VLOOKUP('Building Breakdown'!$D$7,'Model Assumptions'!$B$50:$O$72,8,FALSE))))/1000)*'Building Breakdown'!$E41</f>
        <v>0</v>
      </c>
      <c r="R25" s="178">
        <f>(((('Building Breakdown'!$S41*$H25)+('Building Breakdown'!$T41*$I25)+('Building Breakdown'!$U41*$J25))*('Building Breakdown'!$G41-(VLOOKUP('Building Breakdown'!$D$7,'Model Assumptions'!$B$50:$O$72,9,FALSE))))/1000)*'Building Breakdown'!$E41</f>
        <v>0</v>
      </c>
      <c r="S25" s="178">
        <f>(((('Building Breakdown'!$S41*$H25)+('Building Breakdown'!$T41*$I25)+('Building Breakdown'!$U41*$J25))*('Building Breakdown'!$G41-(VLOOKUP('Building Breakdown'!$D$7,'Model Assumptions'!$B$50:$O$72,10,FALSE))))/1000)*'Building Breakdown'!$E41</f>
        <v>0</v>
      </c>
      <c r="T25" s="178">
        <f>(((('Building Breakdown'!$S41*$H25)+('Building Breakdown'!$T41*$I25)+('Building Breakdown'!$U41*$J25))*('Building Breakdown'!$G41-(VLOOKUP('Building Breakdown'!$D$7,'Model Assumptions'!$B$50:$O$72,11,FALSE))))/1000)*'Building Breakdown'!$E41</f>
        <v>0</v>
      </c>
      <c r="U25" s="178">
        <f>(((('Building Breakdown'!$S41*$H25)+('Building Breakdown'!$T41*$I25)+('Building Breakdown'!$U41*$J25))*('Building Breakdown'!$G41-(VLOOKUP('Building Breakdown'!$D$7,'Model Assumptions'!$B$50:$O$72,12,FALSE))))/1000)*'Building Breakdown'!$E41</f>
        <v>0</v>
      </c>
      <c r="V25" s="179">
        <f>(((('Building Breakdown'!$S41*$H25)+('Building Breakdown'!$T41*$I25)+('Building Breakdown'!$U41*$J25))*('Building Breakdown'!$G41-(VLOOKUP('Building Breakdown'!$D$7,'Model Assumptions'!$B$50:$O$72,13,FALSE))))/1000)*'Building Breakdown'!$E41</f>
        <v>0</v>
      </c>
      <c r="W25" s="177">
        <f>K25*VLOOKUP("Hours",'Model Assumptions'!$B$50:$O$72,2,FALSE)*'Building Breakdown'!$H41*'Building Breakdown'!$I41/168</f>
        <v>0</v>
      </c>
      <c r="X25" s="178">
        <f>L25*VLOOKUP("Hours",'Model Assumptions'!$B$50:$O$72,3,FALSE)*'Building Breakdown'!$H41*'Building Breakdown'!$I41/168</f>
        <v>0</v>
      </c>
      <c r="Y25" s="178">
        <f>M25*VLOOKUP("Hours",'Model Assumptions'!$B$50:$O$72,4,FALSE)*'Building Breakdown'!$H41*'Building Breakdown'!$I41/168</f>
        <v>0</v>
      </c>
      <c r="Z25" s="178">
        <f>N25*VLOOKUP("Hours",'Model Assumptions'!$B$50:$O$72,5,FALSE)*'Building Breakdown'!$H41*'Building Breakdown'!$I41/168</f>
        <v>0</v>
      </c>
      <c r="AA25" s="178">
        <f>O25*VLOOKUP("Hours",'Model Assumptions'!$B$50:$O$72,6,FALSE)*'Building Breakdown'!$H41*'Building Breakdown'!$I41/168</f>
        <v>0</v>
      </c>
      <c r="AB25" s="178">
        <f>P25*VLOOKUP("Hours",'Model Assumptions'!$B$50:$O$72,7,FALSE)*'Building Breakdown'!$H41*'Building Breakdown'!$I41/168</f>
        <v>0</v>
      </c>
      <c r="AC25" s="178">
        <f>Q25*VLOOKUP("Hours",'Model Assumptions'!$B$50:$O$72,8,FALSE)*'Building Breakdown'!$H41*'Building Breakdown'!$I41/168</f>
        <v>0</v>
      </c>
      <c r="AD25" s="178">
        <f>R25*VLOOKUP("Hours",'Model Assumptions'!$B$50:$O$72,9,FALSE)*'Building Breakdown'!$H41*'Building Breakdown'!$I41/168</f>
        <v>0</v>
      </c>
      <c r="AE25" s="178">
        <f>S25*VLOOKUP("Hours",'Model Assumptions'!$B$50:$O$72,10,FALSE)*'Building Breakdown'!$H41*'Building Breakdown'!$I41/168</f>
        <v>0</v>
      </c>
      <c r="AF25" s="178">
        <f>T25*VLOOKUP("Hours",'Model Assumptions'!$B$50:$O$72,11,FALSE)*'Building Breakdown'!$H41*'Building Breakdown'!$I41/168</f>
        <v>0</v>
      </c>
      <c r="AG25" s="178">
        <f>U25*VLOOKUP("Hours",'Model Assumptions'!$B$50:$O$72,12,FALSE)*'Building Breakdown'!$H41*'Building Breakdown'!$I41/168</f>
        <v>0</v>
      </c>
      <c r="AH25" s="179">
        <f>V25*VLOOKUP("Hours",'Model Assumptions'!$B$50:$O$72,13,FALSE)*'Building Breakdown'!$H41*'Building Breakdown'!$I41/168</f>
        <v>0</v>
      </c>
      <c r="AI25" s="234">
        <f t="shared" si="11"/>
        <v>0</v>
      </c>
      <c r="AJ25" s="234">
        <f>'Building Breakdown'!AW41</f>
        <v>0</v>
      </c>
      <c r="AK25" s="234">
        <f t="shared" si="6"/>
        <v>0</v>
      </c>
      <c r="AL25" s="235">
        <f>IF(EXACT('Fabric Changes'!C25,"Yes"),IF('Building Breakdown'!$D$5="High_Security",(HLOOKUP(G25,'Model Assumptions'!$C$43:$E$45,3,FALSE)*'Building Breakdown'!S41),(HLOOKUP(G25,'Model Assumptions'!$C$43:$E$45,2,FALSE)*'Building Breakdown'!S41)),0)</f>
        <v>0</v>
      </c>
      <c r="AM25" s="236">
        <f>IF(EXACT('Fabric Changes'!D25,"Yes"),IF('Building Breakdown'!$D$5="High_Security",('Model Assumptions'!$G$45*'Building Breakdown'!T41),('Model Assumptions'!$G$44*'Building Breakdown'!T41)),0)</f>
        <v>0</v>
      </c>
      <c r="AN25" s="237">
        <f>IF(EXACT('Fabric Changes'!E25,"Yes"),IF('Building Breakdown'!$D$5="High_Security",(HLOOKUP(F25,'Model Assumptions'!C$43:K$45,3,FALSE)*'Building Breakdown'!U41),(HLOOKUP(F25,'Model Assumptions'!C$43:K$45,2,FALSE)*'Building Breakdown'!U41)),0)</f>
        <v>0</v>
      </c>
      <c r="AO25" s="238">
        <f t="shared" si="12"/>
        <v>0</v>
      </c>
      <c r="AP25" s="238">
        <f>IF('Building Breakdown'!$F41='Fabric Changes'!$AP$6,$AK25*'Building Breakdown'!$D$8,0)</f>
        <v>0</v>
      </c>
      <c r="AQ25" s="285">
        <f t="shared" si="13"/>
        <v>0</v>
      </c>
      <c r="AR25" s="287">
        <f>IF($AP25=0,0,$AK25*VLOOKUP('Building Breakdown'!$E$8,'Emission factors'!$C$4:$D$8,2,FALSE))</f>
        <v>0</v>
      </c>
      <c r="AS25" s="238">
        <f>IF('Building Breakdown'!$F41='Fabric Changes'!$AS$6,$AK25*'Building Breakdown'!$D$9,0)</f>
        <v>0</v>
      </c>
      <c r="AT25" s="285">
        <f t="shared" si="14"/>
        <v>0</v>
      </c>
      <c r="AU25" s="287">
        <f>IF($AS25=0,0,$AK25*VLOOKUP('Building Breakdown'!$E$9,'Emission factors'!$C$4:$D$8,2,FALSE))</f>
        <v>0</v>
      </c>
      <c r="AV25" s="238">
        <f>IF('Building Breakdown'!$F41='Fabric Changes'!$AV$6,$AK25*'Building Breakdown'!$D$10,0)</f>
        <v>0</v>
      </c>
      <c r="AW25" s="285">
        <f t="shared" si="5"/>
        <v>0</v>
      </c>
      <c r="AX25" s="287">
        <f>IF($AV25=0,0,$AK25*VLOOKUP('Building Breakdown'!$E$10,'Emission factors'!$C$4:$D$8,2,FALSE))</f>
        <v>0</v>
      </c>
      <c r="AY25" s="169"/>
    </row>
    <row r="26" spans="2:51" x14ac:dyDescent="0.3">
      <c r="B26" s="226" t="str">
        <f>IF('Building Breakdown'!C42="","",'Building Breakdown'!C42)</f>
        <v/>
      </c>
      <c r="C26" s="106"/>
      <c r="D26" s="106"/>
      <c r="E26" s="106"/>
      <c r="F26" s="106"/>
      <c r="G26" s="106"/>
      <c r="H26" s="177">
        <f>MIN(IF(EXACT('Fabric Changes'!C26,"Yes"),'Model Assumptions'!$B$21,'Building Breakdown'!V42),'Building Breakdown'!V42)</f>
        <v>0</v>
      </c>
      <c r="I26" s="178">
        <f>MIN(IF(EXACT('Fabric Changes'!D26,"Yes"),'Model Assumptions'!$D$21,'Building Breakdown'!W42),'Building Breakdown'!W42)</f>
        <v>0</v>
      </c>
      <c r="J26" s="182">
        <f>MIN(IF(EXACT('Fabric Changes'!E26,"Yes"),'Model Assumptions'!$E$21,'Building Breakdown'!X42),'Building Breakdown'!X42)</f>
        <v>0</v>
      </c>
      <c r="K26" s="177">
        <f>(((('Building Breakdown'!$S42*$H26)+('Building Breakdown'!$T42*$I26)+('Building Breakdown'!$U42*$J26))*('Building Breakdown'!$G42-(VLOOKUP('Building Breakdown'!$D$7,'Model Assumptions'!$B$50:$O$72,2,FALSE))))/1000)*'Building Breakdown'!$E42</f>
        <v>0</v>
      </c>
      <c r="L26" s="178">
        <f>(((('Building Breakdown'!$S42*$H26)+('Building Breakdown'!$T42*$I26)+('Building Breakdown'!$U42*$J26))*('Building Breakdown'!$G42-(VLOOKUP('Building Breakdown'!$D$7,'Model Assumptions'!$B$50:$O$72,3,FALSE))))/1000)*'Building Breakdown'!$E42</f>
        <v>0</v>
      </c>
      <c r="M26" s="178">
        <f>(((('Building Breakdown'!$S42*$H26)+('Building Breakdown'!$T42*$I26)+('Building Breakdown'!$U42*$J26))*('Building Breakdown'!$G42-(VLOOKUP('Building Breakdown'!$D$7,'Model Assumptions'!$B$50:$O$72,4,FALSE))))/1000)*'Building Breakdown'!$E42</f>
        <v>0</v>
      </c>
      <c r="N26" s="178">
        <f>(((('Building Breakdown'!$S42*$H26)+('Building Breakdown'!$T42*$I26)+('Building Breakdown'!$U42*$J26))*('Building Breakdown'!$G42-(VLOOKUP('Building Breakdown'!$D$7,'Model Assumptions'!$B$50:$O$72,5,FALSE))))/1000)*'Building Breakdown'!$E42</f>
        <v>0</v>
      </c>
      <c r="O26" s="178">
        <f>(((('Building Breakdown'!$S42*$H26)+('Building Breakdown'!$T42*$I26)+('Building Breakdown'!$U42*$J26))*('Building Breakdown'!$G42-(VLOOKUP('Building Breakdown'!$D$7,'Model Assumptions'!$B$50:$O$72,6,FALSE))))/1000)*'Building Breakdown'!$E42</f>
        <v>0</v>
      </c>
      <c r="P26" s="178">
        <f>(((('Building Breakdown'!$S42*$H26)+('Building Breakdown'!$T42*$I26)+('Building Breakdown'!$U42*$J26))*('Building Breakdown'!$G42-(VLOOKUP('Building Breakdown'!$D$7,'Model Assumptions'!$B$50:$O$72,7,FALSE))))/1000)*'Building Breakdown'!$E42</f>
        <v>0</v>
      </c>
      <c r="Q26" s="178">
        <f>(((('Building Breakdown'!$S42*$H26)+('Building Breakdown'!$T42*$I26)+('Building Breakdown'!$U42*$J26))*('Building Breakdown'!$G42-(VLOOKUP('Building Breakdown'!$D$7,'Model Assumptions'!$B$50:$O$72,8,FALSE))))/1000)*'Building Breakdown'!$E42</f>
        <v>0</v>
      </c>
      <c r="R26" s="178">
        <f>(((('Building Breakdown'!$S42*$H26)+('Building Breakdown'!$T42*$I26)+('Building Breakdown'!$U42*$J26))*('Building Breakdown'!$G42-(VLOOKUP('Building Breakdown'!$D$7,'Model Assumptions'!$B$50:$O$72,9,FALSE))))/1000)*'Building Breakdown'!$E42</f>
        <v>0</v>
      </c>
      <c r="S26" s="178">
        <f>(((('Building Breakdown'!$S42*$H26)+('Building Breakdown'!$T42*$I26)+('Building Breakdown'!$U42*$J26))*('Building Breakdown'!$G42-(VLOOKUP('Building Breakdown'!$D$7,'Model Assumptions'!$B$50:$O$72,10,FALSE))))/1000)*'Building Breakdown'!$E42</f>
        <v>0</v>
      </c>
      <c r="T26" s="178">
        <f>(((('Building Breakdown'!$S42*$H26)+('Building Breakdown'!$T42*$I26)+('Building Breakdown'!$U42*$J26))*('Building Breakdown'!$G42-(VLOOKUP('Building Breakdown'!$D$7,'Model Assumptions'!$B$50:$O$72,11,FALSE))))/1000)*'Building Breakdown'!$E42</f>
        <v>0</v>
      </c>
      <c r="U26" s="178">
        <f>(((('Building Breakdown'!$S42*$H26)+('Building Breakdown'!$T42*$I26)+('Building Breakdown'!$U42*$J26))*('Building Breakdown'!$G42-(VLOOKUP('Building Breakdown'!$D$7,'Model Assumptions'!$B$50:$O$72,12,FALSE))))/1000)*'Building Breakdown'!$E42</f>
        <v>0</v>
      </c>
      <c r="V26" s="179">
        <f>(((('Building Breakdown'!$S42*$H26)+('Building Breakdown'!$T42*$I26)+('Building Breakdown'!$U42*$J26))*('Building Breakdown'!$G42-(VLOOKUP('Building Breakdown'!$D$7,'Model Assumptions'!$B$50:$O$72,13,FALSE))))/1000)*'Building Breakdown'!$E42</f>
        <v>0</v>
      </c>
      <c r="W26" s="177">
        <f>K26*VLOOKUP("Hours",'Model Assumptions'!$B$50:$O$72,2,FALSE)*'Building Breakdown'!$H42*'Building Breakdown'!$I42/168</f>
        <v>0</v>
      </c>
      <c r="X26" s="178">
        <f>L26*VLOOKUP("Hours",'Model Assumptions'!$B$50:$O$72,3,FALSE)*'Building Breakdown'!$H42*'Building Breakdown'!$I42/168</f>
        <v>0</v>
      </c>
      <c r="Y26" s="178">
        <f>M26*VLOOKUP("Hours",'Model Assumptions'!$B$50:$O$72,4,FALSE)*'Building Breakdown'!$H42*'Building Breakdown'!$I42/168</f>
        <v>0</v>
      </c>
      <c r="Z26" s="178">
        <f>N26*VLOOKUP("Hours",'Model Assumptions'!$B$50:$O$72,5,FALSE)*'Building Breakdown'!$H42*'Building Breakdown'!$I42/168</f>
        <v>0</v>
      </c>
      <c r="AA26" s="178">
        <f>O26*VLOOKUP("Hours",'Model Assumptions'!$B$50:$O$72,6,FALSE)*'Building Breakdown'!$H42*'Building Breakdown'!$I42/168</f>
        <v>0</v>
      </c>
      <c r="AB26" s="178">
        <f>P26*VLOOKUP("Hours",'Model Assumptions'!$B$50:$O$72,7,FALSE)*'Building Breakdown'!$H42*'Building Breakdown'!$I42/168</f>
        <v>0</v>
      </c>
      <c r="AC26" s="178">
        <f>Q26*VLOOKUP("Hours",'Model Assumptions'!$B$50:$O$72,8,FALSE)*'Building Breakdown'!$H42*'Building Breakdown'!$I42/168</f>
        <v>0</v>
      </c>
      <c r="AD26" s="178">
        <f>R26*VLOOKUP("Hours",'Model Assumptions'!$B$50:$O$72,9,FALSE)*'Building Breakdown'!$H42*'Building Breakdown'!$I42/168</f>
        <v>0</v>
      </c>
      <c r="AE26" s="178">
        <f>S26*VLOOKUP("Hours",'Model Assumptions'!$B$50:$O$72,10,FALSE)*'Building Breakdown'!$H42*'Building Breakdown'!$I42/168</f>
        <v>0</v>
      </c>
      <c r="AF26" s="178">
        <f>T26*VLOOKUP("Hours",'Model Assumptions'!$B$50:$O$72,11,FALSE)*'Building Breakdown'!$H42*'Building Breakdown'!$I42/168</f>
        <v>0</v>
      </c>
      <c r="AG26" s="178">
        <f>U26*VLOOKUP("Hours",'Model Assumptions'!$B$50:$O$72,12,FALSE)*'Building Breakdown'!$H42*'Building Breakdown'!$I42/168</f>
        <v>0</v>
      </c>
      <c r="AH26" s="179">
        <f>V26*VLOOKUP("Hours",'Model Assumptions'!$B$50:$O$72,13,FALSE)*'Building Breakdown'!$H42*'Building Breakdown'!$I42/168</f>
        <v>0</v>
      </c>
      <c r="AI26" s="234">
        <f t="shared" si="11"/>
        <v>0</v>
      </c>
      <c r="AJ26" s="234">
        <f>'Building Breakdown'!AW42</f>
        <v>0</v>
      </c>
      <c r="AK26" s="234">
        <f t="shared" si="6"/>
        <v>0</v>
      </c>
      <c r="AL26" s="235">
        <f>IF(EXACT('Fabric Changes'!C26,"Yes"),IF('Building Breakdown'!$D$5="High_Security",(HLOOKUP(G26,'Model Assumptions'!$C$43:$E$45,3,FALSE)*'Building Breakdown'!S42),(HLOOKUP(G26,'Model Assumptions'!$C$43:$E$45,2,FALSE)*'Building Breakdown'!S42)),0)</f>
        <v>0</v>
      </c>
      <c r="AM26" s="236">
        <f>IF(EXACT('Fabric Changes'!D26,"Yes"),IF('Building Breakdown'!$D$5="High_Security",('Model Assumptions'!$G$45*'Building Breakdown'!T42),('Model Assumptions'!$G$44*'Building Breakdown'!T42)),0)</f>
        <v>0</v>
      </c>
      <c r="AN26" s="237">
        <f>IF(EXACT('Fabric Changes'!E26,"Yes"),IF('Building Breakdown'!$D$5="High_Security",(HLOOKUP(F26,'Model Assumptions'!C$43:K$45,3,FALSE)*'Building Breakdown'!U42),(HLOOKUP(F26,'Model Assumptions'!C$43:K$45,2,FALSE)*'Building Breakdown'!U42)),0)</f>
        <v>0</v>
      </c>
      <c r="AO26" s="238">
        <f t="shared" si="12"/>
        <v>0</v>
      </c>
      <c r="AP26" s="238">
        <f>IF('Building Breakdown'!$F42='Fabric Changes'!$AP$6,$AK26*'Building Breakdown'!$D$8,0)</f>
        <v>0</v>
      </c>
      <c r="AQ26" s="285">
        <f t="shared" si="13"/>
        <v>0</v>
      </c>
      <c r="AR26" s="287">
        <f>IF($AP26=0,0,$AK26*VLOOKUP('Building Breakdown'!$E$8,'Emission factors'!$C$4:$D$8,2,FALSE))</f>
        <v>0</v>
      </c>
      <c r="AS26" s="238">
        <f>IF('Building Breakdown'!$F42='Fabric Changes'!$AS$6,$AK26*'Building Breakdown'!$D$9,0)</f>
        <v>0</v>
      </c>
      <c r="AT26" s="285">
        <f t="shared" si="14"/>
        <v>0</v>
      </c>
      <c r="AU26" s="287">
        <f>IF($AS26=0,0,$AK26*VLOOKUP('Building Breakdown'!$E$9,'Emission factors'!$C$4:$D$8,2,FALSE))</f>
        <v>0</v>
      </c>
      <c r="AV26" s="238">
        <f>IF('Building Breakdown'!$F42='Fabric Changes'!$AV$6,$AK26*'Building Breakdown'!$D$10,0)</f>
        <v>0</v>
      </c>
      <c r="AW26" s="285">
        <f t="shared" si="5"/>
        <v>0</v>
      </c>
      <c r="AX26" s="287">
        <f>IF($AV26=0,0,$AK26*VLOOKUP('Building Breakdown'!$E$10,'Emission factors'!$C$4:$D$8,2,FALSE))</f>
        <v>0</v>
      </c>
      <c r="AY26" s="169"/>
    </row>
    <row r="27" spans="2:51" x14ac:dyDescent="0.3">
      <c r="B27" s="226" t="str">
        <f>IF('Building Breakdown'!C43="","",'Building Breakdown'!C43)</f>
        <v/>
      </c>
      <c r="C27" s="106"/>
      <c r="D27" s="106"/>
      <c r="E27" s="106"/>
      <c r="F27" s="106"/>
      <c r="G27" s="106"/>
      <c r="H27" s="177">
        <f>MIN(IF(EXACT('Fabric Changes'!C27,"Yes"),'Model Assumptions'!$B$21,'Building Breakdown'!V43),'Building Breakdown'!V43)</f>
        <v>0</v>
      </c>
      <c r="I27" s="178">
        <f>MIN(IF(EXACT('Fabric Changes'!D27,"Yes"),'Model Assumptions'!$D$21,'Building Breakdown'!W43),'Building Breakdown'!W43)</f>
        <v>0</v>
      </c>
      <c r="J27" s="182">
        <f>MIN(IF(EXACT('Fabric Changes'!E27,"Yes"),'Model Assumptions'!$E$21,'Building Breakdown'!X43),'Building Breakdown'!X43)</f>
        <v>0</v>
      </c>
      <c r="K27" s="177">
        <f>(((('Building Breakdown'!$S43*$H27)+('Building Breakdown'!$T43*$I27)+('Building Breakdown'!$U43*$J27))*('Building Breakdown'!$G43-(VLOOKUP('Building Breakdown'!$D$7,'Model Assumptions'!$B$50:$O$72,2,FALSE))))/1000)*'Building Breakdown'!$E43</f>
        <v>0</v>
      </c>
      <c r="L27" s="178">
        <f>(((('Building Breakdown'!$S43*$H27)+('Building Breakdown'!$T43*$I27)+('Building Breakdown'!$U43*$J27))*('Building Breakdown'!$G43-(VLOOKUP('Building Breakdown'!$D$7,'Model Assumptions'!$B$50:$O$72,3,FALSE))))/1000)*'Building Breakdown'!$E43</f>
        <v>0</v>
      </c>
      <c r="M27" s="178">
        <f>(((('Building Breakdown'!$S43*$H27)+('Building Breakdown'!$T43*$I27)+('Building Breakdown'!$U43*$J27))*('Building Breakdown'!$G43-(VLOOKUP('Building Breakdown'!$D$7,'Model Assumptions'!$B$50:$O$72,4,FALSE))))/1000)*'Building Breakdown'!$E43</f>
        <v>0</v>
      </c>
      <c r="N27" s="178">
        <f>(((('Building Breakdown'!$S43*$H27)+('Building Breakdown'!$T43*$I27)+('Building Breakdown'!$U43*$J27))*('Building Breakdown'!$G43-(VLOOKUP('Building Breakdown'!$D$7,'Model Assumptions'!$B$50:$O$72,5,FALSE))))/1000)*'Building Breakdown'!$E43</f>
        <v>0</v>
      </c>
      <c r="O27" s="178">
        <f>(((('Building Breakdown'!$S43*$H27)+('Building Breakdown'!$T43*$I27)+('Building Breakdown'!$U43*$J27))*('Building Breakdown'!$G43-(VLOOKUP('Building Breakdown'!$D$7,'Model Assumptions'!$B$50:$O$72,6,FALSE))))/1000)*'Building Breakdown'!$E43</f>
        <v>0</v>
      </c>
      <c r="P27" s="178">
        <f>(((('Building Breakdown'!$S43*$H27)+('Building Breakdown'!$T43*$I27)+('Building Breakdown'!$U43*$J27))*('Building Breakdown'!$G43-(VLOOKUP('Building Breakdown'!$D$7,'Model Assumptions'!$B$50:$O$72,7,FALSE))))/1000)*'Building Breakdown'!$E43</f>
        <v>0</v>
      </c>
      <c r="Q27" s="178">
        <f>(((('Building Breakdown'!$S43*$H27)+('Building Breakdown'!$T43*$I27)+('Building Breakdown'!$U43*$J27))*('Building Breakdown'!$G43-(VLOOKUP('Building Breakdown'!$D$7,'Model Assumptions'!$B$50:$O$72,8,FALSE))))/1000)*'Building Breakdown'!$E43</f>
        <v>0</v>
      </c>
      <c r="R27" s="178">
        <f>(((('Building Breakdown'!$S43*$H27)+('Building Breakdown'!$T43*$I27)+('Building Breakdown'!$U43*$J27))*('Building Breakdown'!$G43-(VLOOKUP('Building Breakdown'!$D$7,'Model Assumptions'!$B$50:$O$72,9,FALSE))))/1000)*'Building Breakdown'!$E43</f>
        <v>0</v>
      </c>
      <c r="S27" s="178">
        <f>(((('Building Breakdown'!$S43*$H27)+('Building Breakdown'!$T43*$I27)+('Building Breakdown'!$U43*$J27))*('Building Breakdown'!$G43-(VLOOKUP('Building Breakdown'!$D$7,'Model Assumptions'!$B$50:$O$72,10,FALSE))))/1000)*'Building Breakdown'!$E43</f>
        <v>0</v>
      </c>
      <c r="T27" s="178">
        <f>(((('Building Breakdown'!$S43*$H27)+('Building Breakdown'!$T43*$I27)+('Building Breakdown'!$U43*$J27))*('Building Breakdown'!$G43-(VLOOKUP('Building Breakdown'!$D$7,'Model Assumptions'!$B$50:$O$72,11,FALSE))))/1000)*'Building Breakdown'!$E43</f>
        <v>0</v>
      </c>
      <c r="U27" s="178">
        <f>(((('Building Breakdown'!$S43*$H27)+('Building Breakdown'!$T43*$I27)+('Building Breakdown'!$U43*$J27))*('Building Breakdown'!$G43-(VLOOKUP('Building Breakdown'!$D$7,'Model Assumptions'!$B$50:$O$72,12,FALSE))))/1000)*'Building Breakdown'!$E43</f>
        <v>0</v>
      </c>
      <c r="V27" s="179">
        <f>(((('Building Breakdown'!$S43*$H27)+('Building Breakdown'!$T43*$I27)+('Building Breakdown'!$U43*$J27))*('Building Breakdown'!$G43-(VLOOKUP('Building Breakdown'!$D$7,'Model Assumptions'!$B$50:$O$72,13,FALSE))))/1000)*'Building Breakdown'!$E43</f>
        <v>0</v>
      </c>
      <c r="W27" s="177">
        <f>K27*VLOOKUP("Hours",'Model Assumptions'!$B$50:$O$72,2,FALSE)*'Building Breakdown'!$H43*'Building Breakdown'!$I43/168</f>
        <v>0</v>
      </c>
      <c r="X27" s="178">
        <f>L27*VLOOKUP("Hours",'Model Assumptions'!$B$50:$O$72,3,FALSE)*'Building Breakdown'!$H43*'Building Breakdown'!$I43/168</f>
        <v>0</v>
      </c>
      <c r="Y27" s="178">
        <f>M27*VLOOKUP("Hours",'Model Assumptions'!$B$50:$O$72,4,FALSE)*'Building Breakdown'!$H43*'Building Breakdown'!$I43/168</f>
        <v>0</v>
      </c>
      <c r="Z27" s="178">
        <f>N27*VLOOKUP("Hours",'Model Assumptions'!$B$50:$O$72,5,FALSE)*'Building Breakdown'!$H43*'Building Breakdown'!$I43/168</f>
        <v>0</v>
      </c>
      <c r="AA27" s="178">
        <f>O27*VLOOKUP("Hours",'Model Assumptions'!$B$50:$O$72,6,FALSE)*'Building Breakdown'!$H43*'Building Breakdown'!$I43/168</f>
        <v>0</v>
      </c>
      <c r="AB27" s="178">
        <f>P27*VLOOKUP("Hours",'Model Assumptions'!$B$50:$O$72,7,FALSE)*'Building Breakdown'!$H43*'Building Breakdown'!$I43/168</f>
        <v>0</v>
      </c>
      <c r="AC27" s="178">
        <f>Q27*VLOOKUP("Hours",'Model Assumptions'!$B$50:$O$72,8,FALSE)*'Building Breakdown'!$H43*'Building Breakdown'!$I43/168</f>
        <v>0</v>
      </c>
      <c r="AD27" s="178">
        <f>R27*VLOOKUP("Hours",'Model Assumptions'!$B$50:$O$72,9,FALSE)*'Building Breakdown'!$H43*'Building Breakdown'!$I43/168</f>
        <v>0</v>
      </c>
      <c r="AE27" s="178">
        <f>S27*VLOOKUP("Hours",'Model Assumptions'!$B$50:$O$72,10,FALSE)*'Building Breakdown'!$H43*'Building Breakdown'!$I43/168</f>
        <v>0</v>
      </c>
      <c r="AF27" s="178">
        <f>T27*VLOOKUP("Hours",'Model Assumptions'!$B$50:$O$72,11,FALSE)*'Building Breakdown'!$H43*'Building Breakdown'!$I43/168</f>
        <v>0</v>
      </c>
      <c r="AG27" s="178">
        <f>U27*VLOOKUP("Hours",'Model Assumptions'!$B$50:$O$72,12,FALSE)*'Building Breakdown'!$H43*'Building Breakdown'!$I43/168</f>
        <v>0</v>
      </c>
      <c r="AH27" s="179">
        <f>V27*VLOOKUP("Hours",'Model Assumptions'!$B$50:$O$72,13,FALSE)*'Building Breakdown'!$H43*'Building Breakdown'!$I43/168</f>
        <v>0</v>
      </c>
      <c r="AI27" s="234">
        <f t="shared" si="11"/>
        <v>0</v>
      </c>
      <c r="AJ27" s="234">
        <f>'Building Breakdown'!AW43</f>
        <v>0</v>
      </c>
      <c r="AK27" s="234">
        <f t="shared" si="6"/>
        <v>0</v>
      </c>
      <c r="AL27" s="235">
        <f>IF(EXACT('Fabric Changes'!C27,"Yes"),IF('Building Breakdown'!$D$5="High_Security",(HLOOKUP(G27,'Model Assumptions'!$C$43:$E$45,3,FALSE)*'Building Breakdown'!S43),(HLOOKUP(G27,'Model Assumptions'!$C$43:$E$45,2,FALSE)*'Building Breakdown'!S43)),0)</f>
        <v>0</v>
      </c>
      <c r="AM27" s="236">
        <f>IF(EXACT('Fabric Changes'!D27,"Yes"),IF('Building Breakdown'!$D$5="High_Security",('Model Assumptions'!$G$45*'Building Breakdown'!T43),('Model Assumptions'!$G$44*'Building Breakdown'!T43)),0)</f>
        <v>0</v>
      </c>
      <c r="AN27" s="237">
        <f>IF(EXACT('Fabric Changes'!E27,"Yes"),IF('Building Breakdown'!$D$5="High_Security",(HLOOKUP(F27,'Model Assumptions'!C$43:K$45,3,FALSE)*'Building Breakdown'!U43),(HLOOKUP(F27,'Model Assumptions'!C$43:K$45,2,FALSE)*'Building Breakdown'!U43)),0)</f>
        <v>0</v>
      </c>
      <c r="AO27" s="238">
        <f t="shared" si="12"/>
        <v>0</v>
      </c>
      <c r="AP27" s="238">
        <f>IF('Building Breakdown'!$F43='Fabric Changes'!$AP$6,$AK27*'Building Breakdown'!$D$8,0)</f>
        <v>0</v>
      </c>
      <c r="AQ27" s="285">
        <f t="shared" si="13"/>
        <v>0</v>
      </c>
      <c r="AR27" s="287">
        <f>IF($AP27=0,0,$AK27*VLOOKUP('Building Breakdown'!$E$8,'Emission factors'!$C$4:$D$8,2,FALSE))</f>
        <v>0</v>
      </c>
      <c r="AS27" s="238">
        <f>IF('Building Breakdown'!$F43='Fabric Changes'!$AS$6,$AK27*'Building Breakdown'!$D$9,0)</f>
        <v>0</v>
      </c>
      <c r="AT27" s="285">
        <f t="shared" si="14"/>
        <v>0</v>
      </c>
      <c r="AU27" s="287">
        <f>IF($AS27=0,0,$AK27*VLOOKUP('Building Breakdown'!$E$9,'Emission factors'!$C$4:$D$8,2,FALSE))</f>
        <v>0</v>
      </c>
      <c r="AV27" s="238">
        <f>IF('Building Breakdown'!$F43='Fabric Changes'!$AV$6,$AK27*'Building Breakdown'!$D$10,0)</f>
        <v>0</v>
      </c>
      <c r="AW27" s="285">
        <f t="shared" si="5"/>
        <v>0</v>
      </c>
      <c r="AX27" s="287">
        <f>IF($AV27=0,0,$AK27*VLOOKUP('Building Breakdown'!$E$10,'Emission factors'!$C$4:$D$8,2,FALSE))</f>
        <v>0</v>
      </c>
      <c r="AY27" s="169"/>
    </row>
    <row r="28" spans="2:51" x14ac:dyDescent="0.3">
      <c r="B28" s="226" t="str">
        <f>IF('Building Breakdown'!C44="","",'Building Breakdown'!C44)</f>
        <v/>
      </c>
      <c r="C28" s="106"/>
      <c r="D28" s="106"/>
      <c r="E28" s="106"/>
      <c r="F28" s="106"/>
      <c r="G28" s="106"/>
      <c r="H28" s="177">
        <f>MIN(IF(EXACT('Fabric Changes'!C28,"Yes"),'Model Assumptions'!$B$21,'Building Breakdown'!V44),'Building Breakdown'!V44)</f>
        <v>0</v>
      </c>
      <c r="I28" s="178">
        <f>MIN(IF(EXACT('Fabric Changes'!D28,"Yes"),'Model Assumptions'!$D$21,'Building Breakdown'!W44),'Building Breakdown'!W44)</f>
        <v>0</v>
      </c>
      <c r="J28" s="182">
        <f>MIN(IF(EXACT('Fabric Changes'!E28,"Yes"),'Model Assumptions'!$E$21,'Building Breakdown'!X44),'Building Breakdown'!X44)</f>
        <v>0</v>
      </c>
      <c r="K28" s="177">
        <f>(((('Building Breakdown'!$S44*$H28)+('Building Breakdown'!$T44*$I28)+('Building Breakdown'!$U44*$J28))*('Building Breakdown'!$G44-(VLOOKUP('Building Breakdown'!$D$7,'Model Assumptions'!$B$50:$O$72,2,FALSE))))/1000)*'Building Breakdown'!$E44</f>
        <v>0</v>
      </c>
      <c r="L28" s="178">
        <f>(((('Building Breakdown'!$S44*$H28)+('Building Breakdown'!$T44*$I28)+('Building Breakdown'!$U44*$J28))*('Building Breakdown'!$G44-(VLOOKUP('Building Breakdown'!$D$7,'Model Assumptions'!$B$50:$O$72,3,FALSE))))/1000)*'Building Breakdown'!$E44</f>
        <v>0</v>
      </c>
      <c r="M28" s="178">
        <f>(((('Building Breakdown'!$S44*$H28)+('Building Breakdown'!$T44*$I28)+('Building Breakdown'!$U44*$J28))*('Building Breakdown'!$G44-(VLOOKUP('Building Breakdown'!$D$7,'Model Assumptions'!$B$50:$O$72,4,FALSE))))/1000)*'Building Breakdown'!$E44</f>
        <v>0</v>
      </c>
      <c r="N28" s="178">
        <f>(((('Building Breakdown'!$S44*$H28)+('Building Breakdown'!$T44*$I28)+('Building Breakdown'!$U44*$J28))*('Building Breakdown'!$G44-(VLOOKUP('Building Breakdown'!$D$7,'Model Assumptions'!$B$50:$O$72,5,FALSE))))/1000)*'Building Breakdown'!$E44</f>
        <v>0</v>
      </c>
      <c r="O28" s="178">
        <f>(((('Building Breakdown'!$S44*$H28)+('Building Breakdown'!$T44*$I28)+('Building Breakdown'!$U44*$J28))*('Building Breakdown'!$G44-(VLOOKUP('Building Breakdown'!$D$7,'Model Assumptions'!$B$50:$O$72,6,FALSE))))/1000)*'Building Breakdown'!$E44</f>
        <v>0</v>
      </c>
      <c r="P28" s="178">
        <f>(((('Building Breakdown'!$S44*$H28)+('Building Breakdown'!$T44*$I28)+('Building Breakdown'!$U44*$J28))*('Building Breakdown'!$G44-(VLOOKUP('Building Breakdown'!$D$7,'Model Assumptions'!$B$50:$O$72,7,FALSE))))/1000)*'Building Breakdown'!$E44</f>
        <v>0</v>
      </c>
      <c r="Q28" s="178">
        <f>(((('Building Breakdown'!$S44*$H28)+('Building Breakdown'!$T44*$I28)+('Building Breakdown'!$U44*$J28))*('Building Breakdown'!$G44-(VLOOKUP('Building Breakdown'!$D$7,'Model Assumptions'!$B$50:$O$72,8,FALSE))))/1000)*'Building Breakdown'!$E44</f>
        <v>0</v>
      </c>
      <c r="R28" s="178">
        <f>(((('Building Breakdown'!$S44*$H28)+('Building Breakdown'!$T44*$I28)+('Building Breakdown'!$U44*$J28))*('Building Breakdown'!$G44-(VLOOKUP('Building Breakdown'!$D$7,'Model Assumptions'!$B$50:$O$72,9,FALSE))))/1000)*'Building Breakdown'!$E44</f>
        <v>0</v>
      </c>
      <c r="S28" s="178">
        <f>(((('Building Breakdown'!$S44*$H28)+('Building Breakdown'!$T44*$I28)+('Building Breakdown'!$U44*$J28))*('Building Breakdown'!$G44-(VLOOKUP('Building Breakdown'!$D$7,'Model Assumptions'!$B$50:$O$72,10,FALSE))))/1000)*'Building Breakdown'!$E44</f>
        <v>0</v>
      </c>
      <c r="T28" s="178">
        <f>(((('Building Breakdown'!$S44*$H28)+('Building Breakdown'!$T44*$I28)+('Building Breakdown'!$U44*$J28))*('Building Breakdown'!$G44-(VLOOKUP('Building Breakdown'!$D$7,'Model Assumptions'!$B$50:$O$72,11,FALSE))))/1000)*'Building Breakdown'!$E44</f>
        <v>0</v>
      </c>
      <c r="U28" s="178">
        <f>(((('Building Breakdown'!$S44*$H28)+('Building Breakdown'!$T44*$I28)+('Building Breakdown'!$U44*$J28))*('Building Breakdown'!$G44-(VLOOKUP('Building Breakdown'!$D$7,'Model Assumptions'!$B$50:$O$72,12,FALSE))))/1000)*'Building Breakdown'!$E44</f>
        <v>0</v>
      </c>
      <c r="V28" s="179">
        <f>(((('Building Breakdown'!$S44*$H28)+('Building Breakdown'!$T44*$I28)+('Building Breakdown'!$U44*$J28))*('Building Breakdown'!$G44-(VLOOKUP('Building Breakdown'!$D$7,'Model Assumptions'!$B$50:$O$72,13,FALSE))))/1000)*'Building Breakdown'!$E44</f>
        <v>0</v>
      </c>
      <c r="W28" s="177">
        <f>K28*VLOOKUP("Hours",'Model Assumptions'!$B$50:$O$72,2,FALSE)*'Building Breakdown'!$H44*'Building Breakdown'!$I44/168</f>
        <v>0</v>
      </c>
      <c r="X28" s="178">
        <f>L28*VLOOKUP("Hours",'Model Assumptions'!$B$50:$O$72,3,FALSE)*'Building Breakdown'!$H44*'Building Breakdown'!$I44/168</f>
        <v>0</v>
      </c>
      <c r="Y28" s="178">
        <f>M28*VLOOKUP("Hours",'Model Assumptions'!$B$50:$O$72,4,FALSE)*'Building Breakdown'!$H44*'Building Breakdown'!$I44/168</f>
        <v>0</v>
      </c>
      <c r="Z28" s="178">
        <f>N28*VLOOKUP("Hours",'Model Assumptions'!$B$50:$O$72,5,FALSE)*'Building Breakdown'!$H44*'Building Breakdown'!$I44/168</f>
        <v>0</v>
      </c>
      <c r="AA28" s="178">
        <f>O28*VLOOKUP("Hours",'Model Assumptions'!$B$50:$O$72,6,FALSE)*'Building Breakdown'!$H44*'Building Breakdown'!$I44/168</f>
        <v>0</v>
      </c>
      <c r="AB28" s="178">
        <f>P28*VLOOKUP("Hours",'Model Assumptions'!$B$50:$O$72,7,FALSE)*'Building Breakdown'!$H44*'Building Breakdown'!$I44/168</f>
        <v>0</v>
      </c>
      <c r="AC28" s="178">
        <f>Q28*VLOOKUP("Hours",'Model Assumptions'!$B$50:$O$72,8,FALSE)*'Building Breakdown'!$H44*'Building Breakdown'!$I44/168</f>
        <v>0</v>
      </c>
      <c r="AD28" s="178">
        <f>R28*VLOOKUP("Hours",'Model Assumptions'!$B$50:$O$72,9,FALSE)*'Building Breakdown'!$H44*'Building Breakdown'!$I44/168</f>
        <v>0</v>
      </c>
      <c r="AE28" s="178">
        <f>S28*VLOOKUP("Hours",'Model Assumptions'!$B$50:$O$72,10,FALSE)*'Building Breakdown'!$H44*'Building Breakdown'!$I44/168</f>
        <v>0</v>
      </c>
      <c r="AF28" s="178">
        <f>T28*VLOOKUP("Hours",'Model Assumptions'!$B$50:$O$72,11,FALSE)*'Building Breakdown'!$H44*'Building Breakdown'!$I44/168</f>
        <v>0</v>
      </c>
      <c r="AG28" s="178">
        <f>U28*VLOOKUP("Hours",'Model Assumptions'!$B$50:$O$72,12,FALSE)*'Building Breakdown'!$H44*'Building Breakdown'!$I44/168</f>
        <v>0</v>
      </c>
      <c r="AH28" s="179">
        <f>V28*VLOOKUP("Hours",'Model Assumptions'!$B$50:$O$72,13,FALSE)*'Building Breakdown'!$H44*'Building Breakdown'!$I44/168</f>
        <v>0</v>
      </c>
      <c r="AI28" s="234">
        <f t="shared" si="11"/>
        <v>0</v>
      </c>
      <c r="AJ28" s="234">
        <f>'Building Breakdown'!AW44</f>
        <v>0</v>
      </c>
      <c r="AK28" s="234">
        <f t="shared" si="6"/>
        <v>0</v>
      </c>
      <c r="AL28" s="235">
        <f>IF(EXACT('Fabric Changes'!C28,"Yes"),IF('Building Breakdown'!$D$5="High_Security",(HLOOKUP(G28,'Model Assumptions'!$C$43:$E$45,3,FALSE)*'Building Breakdown'!S44),(HLOOKUP(G28,'Model Assumptions'!$C$43:$E$45,2,FALSE)*'Building Breakdown'!S44)),0)</f>
        <v>0</v>
      </c>
      <c r="AM28" s="236">
        <f>IF(EXACT('Fabric Changes'!D28,"Yes"),IF('Building Breakdown'!$D$5="High_Security",('Model Assumptions'!$G$45*'Building Breakdown'!T44),('Model Assumptions'!$G$44*'Building Breakdown'!T44)),0)</f>
        <v>0</v>
      </c>
      <c r="AN28" s="237">
        <f>IF(EXACT('Fabric Changes'!E28,"Yes"),IF('Building Breakdown'!$D$5="High_Security",(HLOOKUP(F28,'Model Assumptions'!C$43:K$45,3,FALSE)*'Building Breakdown'!U44),(HLOOKUP(F28,'Model Assumptions'!C$43:K$45,2,FALSE)*'Building Breakdown'!U44)),0)</f>
        <v>0</v>
      </c>
      <c r="AO28" s="238">
        <f t="shared" si="12"/>
        <v>0</v>
      </c>
      <c r="AP28" s="238">
        <f>IF('Building Breakdown'!$F44='Fabric Changes'!$AP$6,$AK28*'Building Breakdown'!$D$8,0)</f>
        <v>0</v>
      </c>
      <c r="AQ28" s="285">
        <f t="shared" si="13"/>
        <v>0</v>
      </c>
      <c r="AR28" s="287">
        <f>IF($AP28=0,0,$AK28*VLOOKUP('Building Breakdown'!$E$8,'Emission factors'!$C$4:$D$8,2,FALSE))</f>
        <v>0</v>
      </c>
      <c r="AS28" s="238">
        <f>IF('Building Breakdown'!$F44='Fabric Changes'!$AS$6,$AK28*'Building Breakdown'!$D$9,0)</f>
        <v>0</v>
      </c>
      <c r="AT28" s="285">
        <f t="shared" si="14"/>
        <v>0</v>
      </c>
      <c r="AU28" s="287">
        <f>IF($AS28=0,0,$AK28*VLOOKUP('Building Breakdown'!$E$9,'Emission factors'!$C$4:$D$8,2,FALSE))</f>
        <v>0</v>
      </c>
      <c r="AV28" s="238">
        <f>IF('Building Breakdown'!$F44='Fabric Changes'!$AV$6,$AK28*'Building Breakdown'!$D$10,0)</f>
        <v>0</v>
      </c>
      <c r="AW28" s="285">
        <f t="shared" si="5"/>
        <v>0</v>
      </c>
      <c r="AX28" s="287">
        <f>IF($AV28=0,0,$AK28*VLOOKUP('Building Breakdown'!$E$10,'Emission factors'!$C$4:$D$8,2,FALSE))</f>
        <v>0</v>
      </c>
      <c r="AY28" s="169"/>
    </row>
    <row r="29" spans="2:51" x14ac:dyDescent="0.3">
      <c r="B29" s="226" t="str">
        <f>IF('Building Breakdown'!C45="","",'Building Breakdown'!C45)</f>
        <v/>
      </c>
      <c r="C29" s="106"/>
      <c r="D29" s="106"/>
      <c r="E29" s="106"/>
      <c r="F29" s="106"/>
      <c r="G29" s="106"/>
      <c r="H29" s="177">
        <f>MIN(IF(EXACT('Fabric Changes'!C29,"Yes"),'Model Assumptions'!$B$21,'Building Breakdown'!V45),'Building Breakdown'!V45)</f>
        <v>0</v>
      </c>
      <c r="I29" s="178">
        <f>MIN(IF(EXACT('Fabric Changes'!D29,"Yes"),'Model Assumptions'!$D$21,'Building Breakdown'!W45),'Building Breakdown'!W45)</f>
        <v>0</v>
      </c>
      <c r="J29" s="182">
        <f>MIN(IF(EXACT('Fabric Changes'!E29,"Yes"),'Model Assumptions'!$E$21,'Building Breakdown'!X45),'Building Breakdown'!X45)</f>
        <v>0</v>
      </c>
      <c r="K29" s="177">
        <f>(((('Building Breakdown'!$S45*$H29)+('Building Breakdown'!$T45*$I29)+('Building Breakdown'!$U45*$J29))*('Building Breakdown'!$G45-(VLOOKUP('Building Breakdown'!$D$7,'Model Assumptions'!$B$50:$O$72,2,FALSE))))/1000)*'Building Breakdown'!$E45</f>
        <v>0</v>
      </c>
      <c r="L29" s="178">
        <f>(((('Building Breakdown'!$S45*$H29)+('Building Breakdown'!$T45*$I29)+('Building Breakdown'!$U45*$J29))*('Building Breakdown'!$G45-(VLOOKUP('Building Breakdown'!$D$7,'Model Assumptions'!$B$50:$O$72,3,FALSE))))/1000)*'Building Breakdown'!$E45</f>
        <v>0</v>
      </c>
      <c r="M29" s="178">
        <f>(((('Building Breakdown'!$S45*$H29)+('Building Breakdown'!$T45*$I29)+('Building Breakdown'!$U45*$J29))*('Building Breakdown'!$G45-(VLOOKUP('Building Breakdown'!$D$7,'Model Assumptions'!$B$50:$O$72,4,FALSE))))/1000)*'Building Breakdown'!$E45</f>
        <v>0</v>
      </c>
      <c r="N29" s="178">
        <f>(((('Building Breakdown'!$S45*$H29)+('Building Breakdown'!$T45*$I29)+('Building Breakdown'!$U45*$J29))*('Building Breakdown'!$G45-(VLOOKUP('Building Breakdown'!$D$7,'Model Assumptions'!$B$50:$O$72,5,FALSE))))/1000)*'Building Breakdown'!$E45</f>
        <v>0</v>
      </c>
      <c r="O29" s="178">
        <f>(((('Building Breakdown'!$S45*$H29)+('Building Breakdown'!$T45*$I29)+('Building Breakdown'!$U45*$J29))*('Building Breakdown'!$G45-(VLOOKUP('Building Breakdown'!$D$7,'Model Assumptions'!$B$50:$O$72,6,FALSE))))/1000)*'Building Breakdown'!$E45</f>
        <v>0</v>
      </c>
      <c r="P29" s="178">
        <f>(((('Building Breakdown'!$S45*$H29)+('Building Breakdown'!$T45*$I29)+('Building Breakdown'!$U45*$J29))*('Building Breakdown'!$G45-(VLOOKUP('Building Breakdown'!$D$7,'Model Assumptions'!$B$50:$O$72,7,FALSE))))/1000)*'Building Breakdown'!$E45</f>
        <v>0</v>
      </c>
      <c r="Q29" s="178">
        <f>(((('Building Breakdown'!$S45*$H29)+('Building Breakdown'!$T45*$I29)+('Building Breakdown'!$U45*$J29))*('Building Breakdown'!$G45-(VLOOKUP('Building Breakdown'!$D$7,'Model Assumptions'!$B$50:$O$72,8,FALSE))))/1000)*'Building Breakdown'!$E45</f>
        <v>0</v>
      </c>
      <c r="R29" s="178">
        <f>(((('Building Breakdown'!$S45*$H29)+('Building Breakdown'!$T45*$I29)+('Building Breakdown'!$U45*$J29))*('Building Breakdown'!$G45-(VLOOKUP('Building Breakdown'!$D$7,'Model Assumptions'!$B$50:$O$72,9,FALSE))))/1000)*'Building Breakdown'!$E45</f>
        <v>0</v>
      </c>
      <c r="S29" s="178">
        <f>(((('Building Breakdown'!$S45*$H29)+('Building Breakdown'!$T45*$I29)+('Building Breakdown'!$U45*$J29))*('Building Breakdown'!$G45-(VLOOKUP('Building Breakdown'!$D$7,'Model Assumptions'!$B$50:$O$72,10,FALSE))))/1000)*'Building Breakdown'!$E45</f>
        <v>0</v>
      </c>
      <c r="T29" s="178">
        <f>(((('Building Breakdown'!$S45*$H29)+('Building Breakdown'!$T45*$I29)+('Building Breakdown'!$U45*$J29))*('Building Breakdown'!$G45-(VLOOKUP('Building Breakdown'!$D$7,'Model Assumptions'!$B$50:$O$72,11,FALSE))))/1000)*'Building Breakdown'!$E45</f>
        <v>0</v>
      </c>
      <c r="U29" s="178">
        <f>(((('Building Breakdown'!$S45*$H29)+('Building Breakdown'!$T45*$I29)+('Building Breakdown'!$U45*$J29))*('Building Breakdown'!$G45-(VLOOKUP('Building Breakdown'!$D$7,'Model Assumptions'!$B$50:$O$72,12,FALSE))))/1000)*'Building Breakdown'!$E45</f>
        <v>0</v>
      </c>
      <c r="V29" s="179">
        <f>(((('Building Breakdown'!$S45*$H29)+('Building Breakdown'!$T45*$I29)+('Building Breakdown'!$U45*$J29))*('Building Breakdown'!$G45-(VLOOKUP('Building Breakdown'!$D$7,'Model Assumptions'!$B$50:$O$72,13,FALSE))))/1000)*'Building Breakdown'!$E45</f>
        <v>0</v>
      </c>
      <c r="W29" s="177">
        <f>K29*VLOOKUP("Hours",'Model Assumptions'!$B$50:$O$72,2,FALSE)*'Building Breakdown'!$H45*'Building Breakdown'!$I45/168</f>
        <v>0</v>
      </c>
      <c r="X29" s="178">
        <f>L29*VLOOKUP("Hours",'Model Assumptions'!$B$50:$O$72,3,FALSE)*'Building Breakdown'!$H45*'Building Breakdown'!$I45/168</f>
        <v>0</v>
      </c>
      <c r="Y29" s="178">
        <f>M29*VLOOKUP("Hours",'Model Assumptions'!$B$50:$O$72,4,FALSE)*'Building Breakdown'!$H45*'Building Breakdown'!$I45/168</f>
        <v>0</v>
      </c>
      <c r="Z29" s="178">
        <f>N29*VLOOKUP("Hours",'Model Assumptions'!$B$50:$O$72,5,FALSE)*'Building Breakdown'!$H45*'Building Breakdown'!$I45/168</f>
        <v>0</v>
      </c>
      <c r="AA29" s="178">
        <f>O29*VLOOKUP("Hours",'Model Assumptions'!$B$50:$O$72,6,FALSE)*'Building Breakdown'!$H45*'Building Breakdown'!$I45/168</f>
        <v>0</v>
      </c>
      <c r="AB29" s="178">
        <f>P29*VLOOKUP("Hours",'Model Assumptions'!$B$50:$O$72,7,FALSE)*'Building Breakdown'!$H45*'Building Breakdown'!$I45/168</f>
        <v>0</v>
      </c>
      <c r="AC29" s="178">
        <f>Q29*VLOOKUP("Hours",'Model Assumptions'!$B$50:$O$72,8,FALSE)*'Building Breakdown'!$H45*'Building Breakdown'!$I45/168</f>
        <v>0</v>
      </c>
      <c r="AD29" s="178">
        <f>R29*VLOOKUP("Hours",'Model Assumptions'!$B$50:$O$72,9,FALSE)*'Building Breakdown'!$H45*'Building Breakdown'!$I45/168</f>
        <v>0</v>
      </c>
      <c r="AE29" s="178">
        <f>S29*VLOOKUP("Hours",'Model Assumptions'!$B$50:$O$72,10,FALSE)*'Building Breakdown'!$H45*'Building Breakdown'!$I45/168</f>
        <v>0</v>
      </c>
      <c r="AF29" s="178">
        <f>T29*VLOOKUP("Hours",'Model Assumptions'!$B$50:$O$72,11,FALSE)*'Building Breakdown'!$H45*'Building Breakdown'!$I45/168</f>
        <v>0</v>
      </c>
      <c r="AG29" s="178">
        <f>U29*VLOOKUP("Hours",'Model Assumptions'!$B$50:$O$72,12,FALSE)*'Building Breakdown'!$H45*'Building Breakdown'!$I45/168</f>
        <v>0</v>
      </c>
      <c r="AH29" s="179">
        <f>V29*VLOOKUP("Hours",'Model Assumptions'!$B$50:$O$72,13,FALSE)*'Building Breakdown'!$H45*'Building Breakdown'!$I45/168</f>
        <v>0</v>
      </c>
      <c r="AI29" s="234">
        <f t="shared" si="11"/>
        <v>0</v>
      </c>
      <c r="AJ29" s="234">
        <f>'Building Breakdown'!AW45</f>
        <v>0</v>
      </c>
      <c r="AK29" s="234">
        <f t="shared" si="6"/>
        <v>0</v>
      </c>
      <c r="AL29" s="235">
        <f>IF(EXACT('Fabric Changes'!C29,"Yes"),IF('Building Breakdown'!$D$5="High_Security",(HLOOKUP(G29,'Model Assumptions'!$C$43:$E$45,3,FALSE)*'Building Breakdown'!S45),(HLOOKUP(G29,'Model Assumptions'!$C$43:$E$45,2,FALSE)*'Building Breakdown'!S45)),0)</f>
        <v>0</v>
      </c>
      <c r="AM29" s="236">
        <f>IF(EXACT('Fabric Changes'!D29,"Yes"),IF('Building Breakdown'!$D$5="High_Security",('Model Assumptions'!$G$45*'Building Breakdown'!T45),('Model Assumptions'!$G$44*'Building Breakdown'!T45)),0)</f>
        <v>0</v>
      </c>
      <c r="AN29" s="237">
        <f>IF(EXACT('Fabric Changes'!E29,"Yes"),IF('Building Breakdown'!$D$5="High_Security",(HLOOKUP(F29,'Model Assumptions'!C$43:K$45,3,FALSE)*'Building Breakdown'!U45),(HLOOKUP(F29,'Model Assumptions'!C$43:K$45,2,FALSE)*'Building Breakdown'!U45)),0)</f>
        <v>0</v>
      </c>
      <c r="AO29" s="238">
        <f t="shared" si="12"/>
        <v>0</v>
      </c>
      <c r="AP29" s="238">
        <f>IF('Building Breakdown'!$F45='Fabric Changes'!$AP$6,$AK29*'Building Breakdown'!$D$8,0)</f>
        <v>0</v>
      </c>
      <c r="AQ29" s="285">
        <f t="shared" si="13"/>
        <v>0</v>
      </c>
      <c r="AR29" s="287">
        <f>IF($AP29=0,0,$AK29*VLOOKUP('Building Breakdown'!$E$8,'Emission factors'!$C$4:$D$8,2,FALSE))</f>
        <v>0</v>
      </c>
      <c r="AS29" s="238">
        <f>IF('Building Breakdown'!$F45='Fabric Changes'!$AS$6,$AK29*'Building Breakdown'!$D$9,0)</f>
        <v>0</v>
      </c>
      <c r="AT29" s="285">
        <f t="shared" si="14"/>
        <v>0</v>
      </c>
      <c r="AU29" s="287">
        <f>IF($AS29=0,0,$AK29*VLOOKUP('Building Breakdown'!$E$9,'Emission factors'!$C$4:$D$8,2,FALSE))</f>
        <v>0</v>
      </c>
      <c r="AV29" s="238">
        <f>IF('Building Breakdown'!$F45='Fabric Changes'!$AV$6,$AK29*'Building Breakdown'!$D$10,0)</f>
        <v>0</v>
      </c>
      <c r="AW29" s="285">
        <f t="shared" si="5"/>
        <v>0</v>
      </c>
      <c r="AX29" s="287">
        <f>IF($AV29=0,0,$AK29*VLOOKUP('Building Breakdown'!$E$10,'Emission factors'!$C$4:$D$8,2,FALSE))</f>
        <v>0</v>
      </c>
      <c r="AY29" s="169"/>
    </row>
    <row r="30" spans="2:51" x14ac:dyDescent="0.3">
      <c r="B30" s="226" t="str">
        <f>IF('Building Breakdown'!C46="","",'Building Breakdown'!C46)</f>
        <v/>
      </c>
      <c r="C30" s="106"/>
      <c r="D30" s="106"/>
      <c r="E30" s="106"/>
      <c r="F30" s="106"/>
      <c r="G30" s="106"/>
      <c r="H30" s="177">
        <f>MIN(IF(EXACT('Fabric Changes'!C30,"Yes"),'Model Assumptions'!$B$21,'Building Breakdown'!V46),'Building Breakdown'!V46)</f>
        <v>0</v>
      </c>
      <c r="I30" s="178">
        <f>MIN(IF(EXACT('Fabric Changes'!D30,"Yes"),'Model Assumptions'!$D$21,'Building Breakdown'!W46),'Building Breakdown'!W46)</f>
        <v>0</v>
      </c>
      <c r="J30" s="182">
        <f>MIN(IF(EXACT('Fabric Changes'!E30,"Yes"),'Model Assumptions'!$E$21,'Building Breakdown'!X46),'Building Breakdown'!X46)</f>
        <v>0</v>
      </c>
      <c r="K30" s="177">
        <f>(((('Building Breakdown'!$S46*$H30)+('Building Breakdown'!$T46*$I30)+('Building Breakdown'!$U46*$J30))*('Building Breakdown'!$G46-(VLOOKUP('Building Breakdown'!$D$7,'Model Assumptions'!$B$50:$O$72,2,FALSE))))/1000)*'Building Breakdown'!$E46</f>
        <v>0</v>
      </c>
      <c r="L30" s="178">
        <f>(((('Building Breakdown'!$S46*$H30)+('Building Breakdown'!$T46*$I30)+('Building Breakdown'!$U46*$J30))*('Building Breakdown'!$G46-(VLOOKUP('Building Breakdown'!$D$7,'Model Assumptions'!$B$50:$O$72,3,FALSE))))/1000)*'Building Breakdown'!$E46</f>
        <v>0</v>
      </c>
      <c r="M30" s="178">
        <f>(((('Building Breakdown'!$S46*$H30)+('Building Breakdown'!$T46*$I30)+('Building Breakdown'!$U46*$J30))*('Building Breakdown'!$G46-(VLOOKUP('Building Breakdown'!$D$7,'Model Assumptions'!$B$50:$O$72,4,FALSE))))/1000)*'Building Breakdown'!$E46</f>
        <v>0</v>
      </c>
      <c r="N30" s="178">
        <f>(((('Building Breakdown'!$S46*$H30)+('Building Breakdown'!$T46*$I30)+('Building Breakdown'!$U46*$J30))*('Building Breakdown'!$G46-(VLOOKUP('Building Breakdown'!$D$7,'Model Assumptions'!$B$50:$O$72,5,FALSE))))/1000)*'Building Breakdown'!$E46</f>
        <v>0</v>
      </c>
      <c r="O30" s="178">
        <f>(((('Building Breakdown'!$S46*$H30)+('Building Breakdown'!$T46*$I30)+('Building Breakdown'!$U46*$J30))*('Building Breakdown'!$G46-(VLOOKUP('Building Breakdown'!$D$7,'Model Assumptions'!$B$50:$O$72,6,FALSE))))/1000)*'Building Breakdown'!$E46</f>
        <v>0</v>
      </c>
      <c r="P30" s="178">
        <f>(((('Building Breakdown'!$S46*$H30)+('Building Breakdown'!$T46*$I30)+('Building Breakdown'!$U46*$J30))*('Building Breakdown'!$G46-(VLOOKUP('Building Breakdown'!$D$7,'Model Assumptions'!$B$50:$O$72,7,FALSE))))/1000)*'Building Breakdown'!$E46</f>
        <v>0</v>
      </c>
      <c r="Q30" s="178">
        <f>(((('Building Breakdown'!$S46*$H30)+('Building Breakdown'!$T46*$I30)+('Building Breakdown'!$U46*$J30))*('Building Breakdown'!$G46-(VLOOKUP('Building Breakdown'!$D$7,'Model Assumptions'!$B$50:$O$72,8,FALSE))))/1000)*'Building Breakdown'!$E46</f>
        <v>0</v>
      </c>
      <c r="R30" s="178">
        <f>(((('Building Breakdown'!$S46*$H30)+('Building Breakdown'!$T46*$I30)+('Building Breakdown'!$U46*$J30))*('Building Breakdown'!$G46-(VLOOKUP('Building Breakdown'!$D$7,'Model Assumptions'!$B$50:$O$72,9,FALSE))))/1000)*'Building Breakdown'!$E46</f>
        <v>0</v>
      </c>
      <c r="S30" s="178">
        <f>(((('Building Breakdown'!$S46*$H30)+('Building Breakdown'!$T46*$I30)+('Building Breakdown'!$U46*$J30))*('Building Breakdown'!$G46-(VLOOKUP('Building Breakdown'!$D$7,'Model Assumptions'!$B$50:$O$72,10,FALSE))))/1000)*'Building Breakdown'!$E46</f>
        <v>0</v>
      </c>
      <c r="T30" s="178">
        <f>(((('Building Breakdown'!$S46*$H30)+('Building Breakdown'!$T46*$I30)+('Building Breakdown'!$U46*$J30))*('Building Breakdown'!$G46-(VLOOKUP('Building Breakdown'!$D$7,'Model Assumptions'!$B$50:$O$72,11,FALSE))))/1000)*'Building Breakdown'!$E46</f>
        <v>0</v>
      </c>
      <c r="U30" s="178">
        <f>(((('Building Breakdown'!$S46*$H30)+('Building Breakdown'!$T46*$I30)+('Building Breakdown'!$U46*$J30))*('Building Breakdown'!$G46-(VLOOKUP('Building Breakdown'!$D$7,'Model Assumptions'!$B$50:$O$72,12,FALSE))))/1000)*'Building Breakdown'!$E46</f>
        <v>0</v>
      </c>
      <c r="V30" s="179">
        <f>(((('Building Breakdown'!$S46*$H30)+('Building Breakdown'!$T46*$I30)+('Building Breakdown'!$U46*$J30))*('Building Breakdown'!$G46-(VLOOKUP('Building Breakdown'!$D$7,'Model Assumptions'!$B$50:$O$72,13,FALSE))))/1000)*'Building Breakdown'!$E46</f>
        <v>0</v>
      </c>
      <c r="W30" s="177">
        <f>K30*VLOOKUP("Hours",'Model Assumptions'!$B$50:$O$72,2,FALSE)*'Building Breakdown'!$H46*'Building Breakdown'!$I46/168</f>
        <v>0</v>
      </c>
      <c r="X30" s="178">
        <f>L30*VLOOKUP("Hours",'Model Assumptions'!$B$50:$O$72,3,FALSE)*'Building Breakdown'!$H46*'Building Breakdown'!$I46/168</f>
        <v>0</v>
      </c>
      <c r="Y30" s="178">
        <f>M30*VLOOKUP("Hours",'Model Assumptions'!$B$50:$O$72,4,FALSE)*'Building Breakdown'!$H46*'Building Breakdown'!$I46/168</f>
        <v>0</v>
      </c>
      <c r="Z30" s="178">
        <f>N30*VLOOKUP("Hours",'Model Assumptions'!$B$50:$O$72,5,FALSE)*'Building Breakdown'!$H46*'Building Breakdown'!$I46/168</f>
        <v>0</v>
      </c>
      <c r="AA30" s="178">
        <f>O30*VLOOKUP("Hours",'Model Assumptions'!$B$50:$O$72,6,FALSE)*'Building Breakdown'!$H46*'Building Breakdown'!$I46/168</f>
        <v>0</v>
      </c>
      <c r="AB30" s="178">
        <f>P30*VLOOKUP("Hours",'Model Assumptions'!$B$50:$O$72,7,FALSE)*'Building Breakdown'!$H46*'Building Breakdown'!$I46/168</f>
        <v>0</v>
      </c>
      <c r="AC30" s="178">
        <f>Q30*VLOOKUP("Hours",'Model Assumptions'!$B$50:$O$72,8,FALSE)*'Building Breakdown'!$H46*'Building Breakdown'!$I46/168</f>
        <v>0</v>
      </c>
      <c r="AD30" s="178">
        <f>R30*VLOOKUP("Hours",'Model Assumptions'!$B$50:$O$72,9,FALSE)*'Building Breakdown'!$H46*'Building Breakdown'!$I46/168</f>
        <v>0</v>
      </c>
      <c r="AE30" s="178">
        <f>S30*VLOOKUP("Hours",'Model Assumptions'!$B$50:$O$72,10,FALSE)*'Building Breakdown'!$H46*'Building Breakdown'!$I46/168</f>
        <v>0</v>
      </c>
      <c r="AF30" s="178">
        <f>T30*VLOOKUP("Hours",'Model Assumptions'!$B$50:$O$72,11,FALSE)*'Building Breakdown'!$H46*'Building Breakdown'!$I46/168</f>
        <v>0</v>
      </c>
      <c r="AG30" s="178">
        <f>U30*VLOOKUP("Hours",'Model Assumptions'!$B$50:$O$72,12,FALSE)*'Building Breakdown'!$H46*'Building Breakdown'!$I46/168</f>
        <v>0</v>
      </c>
      <c r="AH30" s="179">
        <f>V30*VLOOKUP("Hours",'Model Assumptions'!$B$50:$O$72,13,FALSE)*'Building Breakdown'!$H46*'Building Breakdown'!$I46/168</f>
        <v>0</v>
      </c>
      <c r="AI30" s="234">
        <f t="shared" si="11"/>
        <v>0</v>
      </c>
      <c r="AJ30" s="234">
        <f>'Building Breakdown'!AW46</f>
        <v>0</v>
      </c>
      <c r="AK30" s="234">
        <f t="shared" si="6"/>
        <v>0</v>
      </c>
      <c r="AL30" s="235">
        <f>IF(EXACT('Fabric Changes'!C30,"Yes"),IF('Building Breakdown'!$D$5="High_Security",(HLOOKUP(G30,'Model Assumptions'!$C$43:$E$45,3,FALSE)*'Building Breakdown'!S46),(HLOOKUP(G30,'Model Assumptions'!$C$43:$E$45,2,FALSE)*'Building Breakdown'!S46)),0)</f>
        <v>0</v>
      </c>
      <c r="AM30" s="236">
        <f>IF(EXACT('Fabric Changes'!D30,"Yes"),IF('Building Breakdown'!$D$5="High_Security",('Model Assumptions'!$G$45*'Building Breakdown'!T46),('Model Assumptions'!$G$44*'Building Breakdown'!T46)),0)</f>
        <v>0</v>
      </c>
      <c r="AN30" s="237">
        <f>IF(EXACT('Fabric Changes'!E30,"Yes"),IF('Building Breakdown'!$D$5="High_Security",(HLOOKUP(F30,'Model Assumptions'!C$43:K$45,3,FALSE)*'Building Breakdown'!U46),(HLOOKUP(F30,'Model Assumptions'!C$43:K$45,2,FALSE)*'Building Breakdown'!U46)),0)</f>
        <v>0</v>
      </c>
      <c r="AO30" s="238">
        <f t="shared" si="12"/>
        <v>0</v>
      </c>
      <c r="AP30" s="238">
        <f>IF('Building Breakdown'!$F46='Fabric Changes'!$AP$6,$AK30*'Building Breakdown'!$D$8,0)</f>
        <v>0</v>
      </c>
      <c r="AQ30" s="285">
        <f t="shared" si="13"/>
        <v>0</v>
      </c>
      <c r="AR30" s="287">
        <f>IF($AP30=0,0,$AK30*VLOOKUP('Building Breakdown'!$E$8,'Emission factors'!$C$4:$D$8,2,FALSE))</f>
        <v>0</v>
      </c>
      <c r="AS30" s="238">
        <f>IF('Building Breakdown'!$F46='Fabric Changes'!$AS$6,$AK30*'Building Breakdown'!$D$9,0)</f>
        <v>0</v>
      </c>
      <c r="AT30" s="285">
        <f t="shared" si="14"/>
        <v>0</v>
      </c>
      <c r="AU30" s="287">
        <f>IF($AS30=0,0,$AK30*VLOOKUP('Building Breakdown'!$E$9,'Emission factors'!$C$4:$D$8,2,FALSE))</f>
        <v>0</v>
      </c>
      <c r="AV30" s="238">
        <f>IF('Building Breakdown'!$F46='Fabric Changes'!$AV$6,$AK30*'Building Breakdown'!$D$10,0)</f>
        <v>0</v>
      </c>
      <c r="AW30" s="285">
        <f t="shared" si="5"/>
        <v>0</v>
      </c>
      <c r="AX30" s="287">
        <f>IF($AV30=0,0,$AK30*VLOOKUP('Building Breakdown'!$E$10,'Emission factors'!$C$4:$D$8,2,FALSE))</f>
        <v>0</v>
      </c>
      <c r="AY30" s="169"/>
    </row>
    <row r="31" spans="2:51" x14ac:dyDescent="0.3">
      <c r="B31" s="226" t="str">
        <f>IF('Building Breakdown'!C47="","",'Building Breakdown'!C47)</f>
        <v/>
      </c>
      <c r="C31" s="106"/>
      <c r="D31" s="106"/>
      <c r="E31" s="106"/>
      <c r="F31" s="106"/>
      <c r="G31" s="106"/>
      <c r="H31" s="177">
        <f>MIN(IF(EXACT('Fabric Changes'!C31,"Yes"),'Model Assumptions'!$B$21,'Building Breakdown'!V47),'Building Breakdown'!V47)</f>
        <v>0</v>
      </c>
      <c r="I31" s="178">
        <f>MIN(IF(EXACT('Fabric Changes'!D31,"Yes"),'Model Assumptions'!$D$21,'Building Breakdown'!W47),'Building Breakdown'!W47)</f>
        <v>0</v>
      </c>
      <c r="J31" s="182">
        <f>MIN(IF(EXACT('Fabric Changes'!E31,"Yes"),'Model Assumptions'!$E$21,'Building Breakdown'!X47),'Building Breakdown'!X47)</f>
        <v>0</v>
      </c>
      <c r="K31" s="177">
        <f>(((('Building Breakdown'!$S47*$H31)+('Building Breakdown'!$T47*$I31)+('Building Breakdown'!$U47*$J31))*('Building Breakdown'!$G47-(VLOOKUP('Building Breakdown'!$D$7,'Model Assumptions'!$B$50:$O$72,2,FALSE))))/1000)*'Building Breakdown'!$E47</f>
        <v>0</v>
      </c>
      <c r="L31" s="178">
        <f>(((('Building Breakdown'!$S47*$H31)+('Building Breakdown'!$T47*$I31)+('Building Breakdown'!$U47*$J31))*('Building Breakdown'!$G47-(VLOOKUP('Building Breakdown'!$D$7,'Model Assumptions'!$B$50:$O$72,3,FALSE))))/1000)*'Building Breakdown'!$E47</f>
        <v>0</v>
      </c>
      <c r="M31" s="178">
        <f>(((('Building Breakdown'!$S47*$H31)+('Building Breakdown'!$T47*$I31)+('Building Breakdown'!$U47*$J31))*('Building Breakdown'!$G47-(VLOOKUP('Building Breakdown'!$D$7,'Model Assumptions'!$B$50:$O$72,4,FALSE))))/1000)*'Building Breakdown'!$E47</f>
        <v>0</v>
      </c>
      <c r="N31" s="178">
        <f>(((('Building Breakdown'!$S47*$H31)+('Building Breakdown'!$T47*$I31)+('Building Breakdown'!$U47*$J31))*('Building Breakdown'!$G47-(VLOOKUP('Building Breakdown'!$D$7,'Model Assumptions'!$B$50:$O$72,5,FALSE))))/1000)*'Building Breakdown'!$E47</f>
        <v>0</v>
      </c>
      <c r="O31" s="178">
        <f>(((('Building Breakdown'!$S47*$H31)+('Building Breakdown'!$T47*$I31)+('Building Breakdown'!$U47*$J31))*('Building Breakdown'!$G47-(VLOOKUP('Building Breakdown'!$D$7,'Model Assumptions'!$B$50:$O$72,6,FALSE))))/1000)*'Building Breakdown'!$E47</f>
        <v>0</v>
      </c>
      <c r="P31" s="178">
        <f>(((('Building Breakdown'!$S47*$H31)+('Building Breakdown'!$T47*$I31)+('Building Breakdown'!$U47*$J31))*('Building Breakdown'!$G47-(VLOOKUP('Building Breakdown'!$D$7,'Model Assumptions'!$B$50:$O$72,7,FALSE))))/1000)*'Building Breakdown'!$E47</f>
        <v>0</v>
      </c>
      <c r="Q31" s="178">
        <f>(((('Building Breakdown'!$S47*$H31)+('Building Breakdown'!$T47*$I31)+('Building Breakdown'!$U47*$J31))*('Building Breakdown'!$G47-(VLOOKUP('Building Breakdown'!$D$7,'Model Assumptions'!$B$50:$O$72,8,FALSE))))/1000)*'Building Breakdown'!$E47</f>
        <v>0</v>
      </c>
      <c r="R31" s="178">
        <f>(((('Building Breakdown'!$S47*$H31)+('Building Breakdown'!$T47*$I31)+('Building Breakdown'!$U47*$J31))*('Building Breakdown'!$G47-(VLOOKUP('Building Breakdown'!$D$7,'Model Assumptions'!$B$50:$O$72,9,FALSE))))/1000)*'Building Breakdown'!$E47</f>
        <v>0</v>
      </c>
      <c r="S31" s="178">
        <f>(((('Building Breakdown'!$S47*$H31)+('Building Breakdown'!$T47*$I31)+('Building Breakdown'!$U47*$J31))*('Building Breakdown'!$G47-(VLOOKUP('Building Breakdown'!$D$7,'Model Assumptions'!$B$50:$O$72,10,FALSE))))/1000)*'Building Breakdown'!$E47</f>
        <v>0</v>
      </c>
      <c r="T31" s="178">
        <f>(((('Building Breakdown'!$S47*$H31)+('Building Breakdown'!$T47*$I31)+('Building Breakdown'!$U47*$J31))*('Building Breakdown'!$G47-(VLOOKUP('Building Breakdown'!$D$7,'Model Assumptions'!$B$50:$O$72,11,FALSE))))/1000)*'Building Breakdown'!$E47</f>
        <v>0</v>
      </c>
      <c r="U31" s="178">
        <f>(((('Building Breakdown'!$S47*$H31)+('Building Breakdown'!$T47*$I31)+('Building Breakdown'!$U47*$J31))*('Building Breakdown'!$G47-(VLOOKUP('Building Breakdown'!$D$7,'Model Assumptions'!$B$50:$O$72,12,FALSE))))/1000)*'Building Breakdown'!$E47</f>
        <v>0</v>
      </c>
      <c r="V31" s="179">
        <f>(((('Building Breakdown'!$S47*$H31)+('Building Breakdown'!$T47*$I31)+('Building Breakdown'!$U47*$J31))*('Building Breakdown'!$G47-(VLOOKUP('Building Breakdown'!$D$7,'Model Assumptions'!$B$50:$O$72,13,FALSE))))/1000)*'Building Breakdown'!$E47</f>
        <v>0</v>
      </c>
      <c r="W31" s="177">
        <f>K31*VLOOKUP("Hours",'Model Assumptions'!$B$50:$O$72,2,FALSE)*'Building Breakdown'!$H47*'Building Breakdown'!$I47/168</f>
        <v>0</v>
      </c>
      <c r="X31" s="178">
        <f>L31*VLOOKUP("Hours",'Model Assumptions'!$B$50:$O$72,3,FALSE)*'Building Breakdown'!$H47*'Building Breakdown'!$I47/168</f>
        <v>0</v>
      </c>
      <c r="Y31" s="178">
        <f>M31*VLOOKUP("Hours",'Model Assumptions'!$B$50:$O$72,4,FALSE)*'Building Breakdown'!$H47*'Building Breakdown'!$I47/168</f>
        <v>0</v>
      </c>
      <c r="Z31" s="178">
        <f>N31*VLOOKUP("Hours",'Model Assumptions'!$B$50:$O$72,5,FALSE)*'Building Breakdown'!$H47*'Building Breakdown'!$I47/168</f>
        <v>0</v>
      </c>
      <c r="AA31" s="178">
        <f>O31*VLOOKUP("Hours",'Model Assumptions'!$B$50:$O$72,6,FALSE)*'Building Breakdown'!$H47*'Building Breakdown'!$I47/168</f>
        <v>0</v>
      </c>
      <c r="AB31" s="178">
        <f>P31*VLOOKUP("Hours",'Model Assumptions'!$B$50:$O$72,7,FALSE)*'Building Breakdown'!$H47*'Building Breakdown'!$I47/168</f>
        <v>0</v>
      </c>
      <c r="AC31" s="178">
        <f>Q31*VLOOKUP("Hours",'Model Assumptions'!$B$50:$O$72,8,FALSE)*'Building Breakdown'!$H47*'Building Breakdown'!$I47/168</f>
        <v>0</v>
      </c>
      <c r="AD31" s="178">
        <f>R31*VLOOKUP("Hours",'Model Assumptions'!$B$50:$O$72,9,FALSE)*'Building Breakdown'!$H47*'Building Breakdown'!$I47/168</f>
        <v>0</v>
      </c>
      <c r="AE31" s="178">
        <f>S31*VLOOKUP("Hours",'Model Assumptions'!$B$50:$O$72,10,FALSE)*'Building Breakdown'!$H47*'Building Breakdown'!$I47/168</f>
        <v>0</v>
      </c>
      <c r="AF31" s="178">
        <f>T31*VLOOKUP("Hours",'Model Assumptions'!$B$50:$O$72,11,FALSE)*'Building Breakdown'!$H47*'Building Breakdown'!$I47/168</f>
        <v>0</v>
      </c>
      <c r="AG31" s="178">
        <f>U31*VLOOKUP("Hours",'Model Assumptions'!$B$50:$O$72,12,FALSE)*'Building Breakdown'!$H47*'Building Breakdown'!$I47/168</f>
        <v>0</v>
      </c>
      <c r="AH31" s="179">
        <f>V31*VLOOKUP("Hours",'Model Assumptions'!$B$50:$O$72,13,FALSE)*'Building Breakdown'!$H47*'Building Breakdown'!$I47/168</f>
        <v>0</v>
      </c>
      <c r="AI31" s="234">
        <f t="shared" si="11"/>
        <v>0</v>
      </c>
      <c r="AJ31" s="234">
        <f>'Building Breakdown'!AW47</f>
        <v>0</v>
      </c>
      <c r="AK31" s="234">
        <f t="shared" si="6"/>
        <v>0</v>
      </c>
      <c r="AL31" s="235">
        <f>IF(EXACT('Fabric Changes'!C31,"Yes"),IF('Building Breakdown'!$D$5="High_Security",(HLOOKUP(G31,'Model Assumptions'!$C$43:$E$45,3,FALSE)*'Building Breakdown'!S47),(HLOOKUP(G31,'Model Assumptions'!$C$43:$E$45,2,FALSE)*'Building Breakdown'!S47)),0)</f>
        <v>0</v>
      </c>
      <c r="AM31" s="236">
        <f>IF(EXACT('Fabric Changes'!D31,"Yes"),IF('Building Breakdown'!$D$5="High_Security",('Model Assumptions'!$G$45*'Building Breakdown'!T47),('Model Assumptions'!$G$44*'Building Breakdown'!T47)),0)</f>
        <v>0</v>
      </c>
      <c r="AN31" s="237">
        <f>IF(EXACT('Fabric Changes'!E31,"Yes"),IF('Building Breakdown'!$D$5="High_Security",(HLOOKUP(F31,'Model Assumptions'!C$43:K$45,3,FALSE)*'Building Breakdown'!U47),(HLOOKUP(F31,'Model Assumptions'!C$43:K$45,2,FALSE)*'Building Breakdown'!U47)),0)</f>
        <v>0</v>
      </c>
      <c r="AO31" s="238">
        <f t="shared" si="12"/>
        <v>0</v>
      </c>
      <c r="AP31" s="238">
        <f>IF('Building Breakdown'!$F47='Fabric Changes'!$AP$6,$AK31*'Building Breakdown'!$D$8,0)</f>
        <v>0</v>
      </c>
      <c r="AQ31" s="285">
        <f t="shared" si="13"/>
        <v>0</v>
      </c>
      <c r="AR31" s="287">
        <f>IF($AP31=0,0,$AK31*VLOOKUP('Building Breakdown'!$E$8,'Emission factors'!$C$4:$D$8,2,FALSE))</f>
        <v>0</v>
      </c>
      <c r="AS31" s="238">
        <f>IF('Building Breakdown'!$F47='Fabric Changes'!$AS$6,$AK31*'Building Breakdown'!$D$9,0)</f>
        <v>0</v>
      </c>
      <c r="AT31" s="285">
        <f t="shared" si="14"/>
        <v>0</v>
      </c>
      <c r="AU31" s="287">
        <f>IF($AS31=0,0,$AK31*VLOOKUP('Building Breakdown'!$E$9,'Emission factors'!$C$4:$D$8,2,FALSE))</f>
        <v>0</v>
      </c>
      <c r="AV31" s="238">
        <f>IF('Building Breakdown'!$F47='Fabric Changes'!$AV$6,$AK31*'Building Breakdown'!$D$10,0)</f>
        <v>0</v>
      </c>
      <c r="AW31" s="285">
        <f t="shared" si="5"/>
        <v>0</v>
      </c>
      <c r="AX31" s="287">
        <f>IF($AV31=0,0,$AK31*VLOOKUP('Building Breakdown'!$E$10,'Emission factors'!$C$4:$D$8,2,FALSE))</f>
        <v>0</v>
      </c>
      <c r="AY31" s="169"/>
    </row>
    <row r="32" spans="2:51" x14ac:dyDescent="0.3">
      <c r="B32" s="226" t="str">
        <f>IF('Building Breakdown'!C48="","",'Building Breakdown'!C48)</f>
        <v/>
      </c>
      <c r="C32" s="106"/>
      <c r="D32" s="106"/>
      <c r="E32" s="106"/>
      <c r="F32" s="106"/>
      <c r="G32" s="106"/>
      <c r="H32" s="177">
        <f>MIN(IF(EXACT('Fabric Changes'!C32,"Yes"),'Model Assumptions'!$B$21,'Building Breakdown'!V48),'Building Breakdown'!V48)</f>
        <v>0</v>
      </c>
      <c r="I32" s="178">
        <f>MIN(IF(EXACT('Fabric Changes'!D32,"Yes"),'Model Assumptions'!$D$21,'Building Breakdown'!W48),'Building Breakdown'!W48)</f>
        <v>0</v>
      </c>
      <c r="J32" s="182">
        <f>MIN(IF(EXACT('Fabric Changes'!E32,"Yes"),'Model Assumptions'!$E$21,'Building Breakdown'!X48),'Building Breakdown'!X48)</f>
        <v>0</v>
      </c>
      <c r="K32" s="177">
        <f>(((('Building Breakdown'!$S48*$H32)+('Building Breakdown'!$T48*$I32)+('Building Breakdown'!$U48*$J32))*('Building Breakdown'!$G48-(VLOOKUP('Building Breakdown'!$D$7,'Model Assumptions'!$B$50:$O$72,2,FALSE))))/1000)*'Building Breakdown'!$E48</f>
        <v>0</v>
      </c>
      <c r="L32" s="178">
        <f>(((('Building Breakdown'!$S48*$H32)+('Building Breakdown'!$T48*$I32)+('Building Breakdown'!$U48*$J32))*('Building Breakdown'!$G48-(VLOOKUP('Building Breakdown'!$D$7,'Model Assumptions'!$B$50:$O$72,3,FALSE))))/1000)*'Building Breakdown'!$E48</f>
        <v>0</v>
      </c>
      <c r="M32" s="178">
        <f>(((('Building Breakdown'!$S48*$H32)+('Building Breakdown'!$T48*$I32)+('Building Breakdown'!$U48*$J32))*('Building Breakdown'!$G48-(VLOOKUP('Building Breakdown'!$D$7,'Model Assumptions'!$B$50:$O$72,4,FALSE))))/1000)*'Building Breakdown'!$E48</f>
        <v>0</v>
      </c>
      <c r="N32" s="178">
        <f>(((('Building Breakdown'!$S48*$H32)+('Building Breakdown'!$T48*$I32)+('Building Breakdown'!$U48*$J32))*('Building Breakdown'!$G48-(VLOOKUP('Building Breakdown'!$D$7,'Model Assumptions'!$B$50:$O$72,5,FALSE))))/1000)*'Building Breakdown'!$E48</f>
        <v>0</v>
      </c>
      <c r="O32" s="178">
        <f>(((('Building Breakdown'!$S48*$H32)+('Building Breakdown'!$T48*$I32)+('Building Breakdown'!$U48*$J32))*('Building Breakdown'!$G48-(VLOOKUP('Building Breakdown'!$D$7,'Model Assumptions'!$B$50:$O$72,6,FALSE))))/1000)*'Building Breakdown'!$E48</f>
        <v>0</v>
      </c>
      <c r="P32" s="178">
        <f>(((('Building Breakdown'!$S48*$H32)+('Building Breakdown'!$T48*$I32)+('Building Breakdown'!$U48*$J32))*('Building Breakdown'!$G48-(VLOOKUP('Building Breakdown'!$D$7,'Model Assumptions'!$B$50:$O$72,7,FALSE))))/1000)*'Building Breakdown'!$E48</f>
        <v>0</v>
      </c>
      <c r="Q32" s="178">
        <f>(((('Building Breakdown'!$S48*$H32)+('Building Breakdown'!$T48*$I32)+('Building Breakdown'!$U48*$J32))*('Building Breakdown'!$G48-(VLOOKUP('Building Breakdown'!$D$7,'Model Assumptions'!$B$50:$O$72,8,FALSE))))/1000)*'Building Breakdown'!$E48</f>
        <v>0</v>
      </c>
      <c r="R32" s="178">
        <f>(((('Building Breakdown'!$S48*$H32)+('Building Breakdown'!$T48*$I32)+('Building Breakdown'!$U48*$J32))*('Building Breakdown'!$G48-(VLOOKUP('Building Breakdown'!$D$7,'Model Assumptions'!$B$50:$O$72,9,FALSE))))/1000)*'Building Breakdown'!$E48</f>
        <v>0</v>
      </c>
      <c r="S32" s="178">
        <f>(((('Building Breakdown'!$S48*$H32)+('Building Breakdown'!$T48*$I32)+('Building Breakdown'!$U48*$J32))*('Building Breakdown'!$G48-(VLOOKUP('Building Breakdown'!$D$7,'Model Assumptions'!$B$50:$O$72,10,FALSE))))/1000)*'Building Breakdown'!$E48</f>
        <v>0</v>
      </c>
      <c r="T32" s="178">
        <f>(((('Building Breakdown'!$S48*$H32)+('Building Breakdown'!$T48*$I32)+('Building Breakdown'!$U48*$J32))*('Building Breakdown'!$G48-(VLOOKUP('Building Breakdown'!$D$7,'Model Assumptions'!$B$50:$O$72,11,FALSE))))/1000)*'Building Breakdown'!$E48</f>
        <v>0</v>
      </c>
      <c r="U32" s="178">
        <f>(((('Building Breakdown'!$S48*$H32)+('Building Breakdown'!$T48*$I32)+('Building Breakdown'!$U48*$J32))*('Building Breakdown'!$G48-(VLOOKUP('Building Breakdown'!$D$7,'Model Assumptions'!$B$50:$O$72,12,FALSE))))/1000)*'Building Breakdown'!$E48</f>
        <v>0</v>
      </c>
      <c r="V32" s="179">
        <f>(((('Building Breakdown'!$S48*$H32)+('Building Breakdown'!$T48*$I32)+('Building Breakdown'!$U48*$J32))*('Building Breakdown'!$G48-(VLOOKUP('Building Breakdown'!$D$7,'Model Assumptions'!$B$50:$O$72,13,FALSE))))/1000)*'Building Breakdown'!$E48</f>
        <v>0</v>
      </c>
      <c r="W32" s="177">
        <f>K32*VLOOKUP("Hours",'Model Assumptions'!$B$50:$O$72,2,FALSE)*'Building Breakdown'!$H48*'Building Breakdown'!$I48/168</f>
        <v>0</v>
      </c>
      <c r="X32" s="178">
        <f>L32*VLOOKUP("Hours",'Model Assumptions'!$B$50:$O$72,3,FALSE)*'Building Breakdown'!$H48*'Building Breakdown'!$I48/168</f>
        <v>0</v>
      </c>
      <c r="Y32" s="178">
        <f>M32*VLOOKUP("Hours",'Model Assumptions'!$B$50:$O$72,4,FALSE)*'Building Breakdown'!$H48*'Building Breakdown'!$I48/168</f>
        <v>0</v>
      </c>
      <c r="Z32" s="178">
        <f>N32*VLOOKUP("Hours",'Model Assumptions'!$B$50:$O$72,5,FALSE)*'Building Breakdown'!$H48*'Building Breakdown'!$I48/168</f>
        <v>0</v>
      </c>
      <c r="AA32" s="178">
        <f>O32*VLOOKUP("Hours",'Model Assumptions'!$B$50:$O$72,6,FALSE)*'Building Breakdown'!$H48*'Building Breakdown'!$I48/168</f>
        <v>0</v>
      </c>
      <c r="AB32" s="178">
        <f>P32*VLOOKUP("Hours",'Model Assumptions'!$B$50:$O$72,7,FALSE)*'Building Breakdown'!$H48*'Building Breakdown'!$I48/168</f>
        <v>0</v>
      </c>
      <c r="AC32" s="178">
        <f>Q32*VLOOKUP("Hours",'Model Assumptions'!$B$50:$O$72,8,FALSE)*'Building Breakdown'!$H48*'Building Breakdown'!$I48/168</f>
        <v>0</v>
      </c>
      <c r="AD32" s="178">
        <f>R32*VLOOKUP("Hours",'Model Assumptions'!$B$50:$O$72,9,FALSE)*'Building Breakdown'!$H48*'Building Breakdown'!$I48/168</f>
        <v>0</v>
      </c>
      <c r="AE32" s="178">
        <f>S32*VLOOKUP("Hours",'Model Assumptions'!$B$50:$O$72,10,FALSE)*'Building Breakdown'!$H48*'Building Breakdown'!$I48/168</f>
        <v>0</v>
      </c>
      <c r="AF32" s="178">
        <f>T32*VLOOKUP("Hours",'Model Assumptions'!$B$50:$O$72,11,FALSE)*'Building Breakdown'!$H48*'Building Breakdown'!$I48/168</f>
        <v>0</v>
      </c>
      <c r="AG32" s="178">
        <f>U32*VLOOKUP("Hours",'Model Assumptions'!$B$50:$O$72,12,FALSE)*'Building Breakdown'!$H48*'Building Breakdown'!$I48/168</f>
        <v>0</v>
      </c>
      <c r="AH32" s="179">
        <f>V32*VLOOKUP("Hours",'Model Assumptions'!$B$50:$O$72,13,FALSE)*'Building Breakdown'!$H48*'Building Breakdown'!$I48/168</f>
        <v>0</v>
      </c>
      <c r="AI32" s="234">
        <f t="shared" si="11"/>
        <v>0</v>
      </c>
      <c r="AJ32" s="234">
        <f>'Building Breakdown'!AW48</f>
        <v>0</v>
      </c>
      <c r="AK32" s="234">
        <f t="shared" si="6"/>
        <v>0</v>
      </c>
      <c r="AL32" s="235">
        <f>IF(EXACT('Fabric Changes'!C32,"Yes"),IF('Building Breakdown'!$D$5="High_Security",(HLOOKUP(G32,'Model Assumptions'!$C$43:$E$45,3,FALSE)*'Building Breakdown'!S48),(HLOOKUP(G32,'Model Assumptions'!$C$43:$E$45,2,FALSE)*'Building Breakdown'!S48)),0)</f>
        <v>0</v>
      </c>
      <c r="AM32" s="236">
        <f>IF(EXACT('Fabric Changes'!D32,"Yes"),IF('Building Breakdown'!$D$5="High_Security",('Model Assumptions'!$G$45*'Building Breakdown'!T48),('Model Assumptions'!$G$44*'Building Breakdown'!T48)),0)</f>
        <v>0</v>
      </c>
      <c r="AN32" s="237">
        <f>IF(EXACT('Fabric Changes'!E32,"Yes"),IF('Building Breakdown'!$D$5="High_Security",(HLOOKUP(F32,'Model Assumptions'!C$43:K$45,3,FALSE)*'Building Breakdown'!U48),(HLOOKUP(F32,'Model Assumptions'!C$43:K$45,2,FALSE)*'Building Breakdown'!U48)),0)</f>
        <v>0</v>
      </c>
      <c r="AO32" s="238">
        <f t="shared" si="12"/>
        <v>0</v>
      </c>
      <c r="AP32" s="238">
        <f>IF('Building Breakdown'!$F48='Fabric Changes'!$AP$6,$AK32*'Building Breakdown'!$D$8,0)</f>
        <v>0</v>
      </c>
      <c r="AQ32" s="285">
        <f t="shared" si="13"/>
        <v>0</v>
      </c>
      <c r="AR32" s="287">
        <f>IF($AP32=0,0,$AK32*VLOOKUP('Building Breakdown'!$E$8,'Emission factors'!$C$4:$D$8,2,FALSE))</f>
        <v>0</v>
      </c>
      <c r="AS32" s="238">
        <f>IF('Building Breakdown'!$F48='Fabric Changes'!$AS$6,$AK32*'Building Breakdown'!$D$9,0)</f>
        <v>0</v>
      </c>
      <c r="AT32" s="285">
        <f t="shared" si="14"/>
        <v>0</v>
      </c>
      <c r="AU32" s="287">
        <f>IF($AS32=0,0,$AK32*VLOOKUP('Building Breakdown'!$E$9,'Emission factors'!$C$4:$D$8,2,FALSE))</f>
        <v>0</v>
      </c>
      <c r="AV32" s="238">
        <f>IF('Building Breakdown'!$F48='Fabric Changes'!$AV$6,$AK32*'Building Breakdown'!$D$10,0)</f>
        <v>0</v>
      </c>
      <c r="AW32" s="285">
        <f t="shared" si="5"/>
        <v>0</v>
      </c>
      <c r="AX32" s="287">
        <f>IF($AV32=0,0,$AK32*VLOOKUP('Building Breakdown'!$E$10,'Emission factors'!$C$4:$D$8,2,FALSE))</f>
        <v>0</v>
      </c>
      <c r="AY32" s="169"/>
    </row>
    <row r="33" spans="2:51" x14ac:dyDescent="0.3">
      <c r="B33" s="226" t="str">
        <f>IF('Building Breakdown'!C49="","",'Building Breakdown'!C49)</f>
        <v/>
      </c>
      <c r="C33" s="106"/>
      <c r="D33" s="106"/>
      <c r="E33" s="106"/>
      <c r="F33" s="106"/>
      <c r="G33" s="106"/>
      <c r="H33" s="177">
        <f>MIN(IF(EXACT('Fabric Changes'!C33,"Yes"),'Model Assumptions'!$B$21,'Building Breakdown'!V49),'Building Breakdown'!V49)</f>
        <v>0</v>
      </c>
      <c r="I33" s="178">
        <f>MIN(IF(EXACT('Fabric Changes'!D33,"Yes"),'Model Assumptions'!$D$21,'Building Breakdown'!W49),'Building Breakdown'!W49)</f>
        <v>0</v>
      </c>
      <c r="J33" s="182">
        <f>MIN(IF(EXACT('Fabric Changes'!E33,"Yes"),'Model Assumptions'!$E$21,'Building Breakdown'!X49),'Building Breakdown'!X49)</f>
        <v>0</v>
      </c>
      <c r="K33" s="177">
        <f>(((('Building Breakdown'!$S49*$H33)+('Building Breakdown'!$T49*$I33)+('Building Breakdown'!$U49*$J33))*('Building Breakdown'!$G49-(VLOOKUP('Building Breakdown'!$D$7,'Model Assumptions'!$B$50:$O$72,2,FALSE))))/1000)*'Building Breakdown'!$E49</f>
        <v>0</v>
      </c>
      <c r="L33" s="178">
        <f>(((('Building Breakdown'!$S49*$H33)+('Building Breakdown'!$T49*$I33)+('Building Breakdown'!$U49*$J33))*('Building Breakdown'!$G49-(VLOOKUP('Building Breakdown'!$D$7,'Model Assumptions'!$B$50:$O$72,3,FALSE))))/1000)*'Building Breakdown'!$E49</f>
        <v>0</v>
      </c>
      <c r="M33" s="178">
        <f>(((('Building Breakdown'!$S49*$H33)+('Building Breakdown'!$T49*$I33)+('Building Breakdown'!$U49*$J33))*('Building Breakdown'!$G49-(VLOOKUP('Building Breakdown'!$D$7,'Model Assumptions'!$B$50:$O$72,4,FALSE))))/1000)*'Building Breakdown'!$E49</f>
        <v>0</v>
      </c>
      <c r="N33" s="178">
        <f>(((('Building Breakdown'!$S49*$H33)+('Building Breakdown'!$T49*$I33)+('Building Breakdown'!$U49*$J33))*('Building Breakdown'!$G49-(VLOOKUP('Building Breakdown'!$D$7,'Model Assumptions'!$B$50:$O$72,5,FALSE))))/1000)*'Building Breakdown'!$E49</f>
        <v>0</v>
      </c>
      <c r="O33" s="178">
        <f>(((('Building Breakdown'!$S49*$H33)+('Building Breakdown'!$T49*$I33)+('Building Breakdown'!$U49*$J33))*('Building Breakdown'!$G49-(VLOOKUP('Building Breakdown'!$D$7,'Model Assumptions'!$B$50:$O$72,6,FALSE))))/1000)*'Building Breakdown'!$E49</f>
        <v>0</v>
      </c>
      <c r="P33" s="178">
        <f>(((('Building Breakdown'!$S49*$H33)+('Building Breakdown'!$T49*$I33)+('Building Breakdown'!$U49*$J33))*('Building Breakdown'!$G49-(VLOOKUP('Building Breakdown'!$D$7,'Model Assumptions'!$B$50:$O$72,7,FALSE))))/1000)*'Building Breakdown'!$E49</f>
        <v>0</v>
      </c>
      <c r="Q33" s="178">
        <f>(((('Building Breakdown'!$S49*$H33)+('Building Breakdown'!$T49*$I33)+('Building Breakdown'!$U49*$J33))*('Building Breakdown'!$G49-(VLOOKUP('Building Breakdown'!$D$7,'Model Assumptions'!$B$50:$O$72,8,FALSE))))/1000)*'Building Breakdown'!$E49</f>
        <v>0</v>
      </c>
      <c r="R33" s="178">
        <f>(((('Building Breakdown'!$S49*$H33)+('Building Breakdown'!$T49*$I33)+('Building Breakdown'!$U49*$J33))*('Building Breakdown'!$G49-(VLOOKUP('Building Breakdown'!$D$7,'Model Assumptions'!$B$50:$O$72,9,FALSE))))/1000)*'Building Breakdown'!$E49</f>
        <v>0</v>
      </c>
      <c r="S33" s="178">
        <f>(((('Building Breakdown'!$S49*$H33)+('Building Breakdown'!$T49*$I33)+('Building Breakdown'!$U49*$J33))*('Building Breakdown'!$G49-(VLOOKUP('Building Breakdown'!$D$7,'Model Assumptions'!$B$50:$O$72,10,FALSE))))/1000)*'Building Breakdown'!$E49</f>
        <v>0</v>
      </c>
      <c r="T33" s="178">
        <f>(((('Building Breakdown'!$S49*$H33)+('Building Breakdown'!$T49*$I33)+('Building Breakdown'!$U49*$J33))*('Building Breakdown'!$G49-(VLOOKUP('Building Breakdown'!$D$7,'Model Assumptions'!$B$50:$O$72,11,FALSE))))/1000)*'Building Breakdown'!$E49</f>
        <v>0</v>
      </c>
      <c r="U33" s="178">
        <f>(((('Building Breakdown'!$S49*$H33)+('Building Breakdown'!$T49*$I33)+('Building Breakdown'!$U49*$J33))*('Building Breakdown'!$G49-(VLOOKUP('Building Breakdown'!$D$7,'Model Assumptions'!$B$50:$O$72,12,FALSE))))/1000)*'Building Breakdown'!$E49</f>
        <v>0</v>
      </c>
      <c r="V33" s="179">
        <f>(((('Building Breakdown'!$S49*$H33)+('Building Breakdown'!$T49*$I33)+('Building Breakdown'!$U49*$J33))*('Building Breakdown'!$G49-(VLOOKUP('Building Breakdown'!$D$7,'Model Assumptions'!$B$50:$O$72,13,FALSE))))/1000)*'Building Breakdown'!$E49</f>
        <v>0</v>
      </c>
      <c r="W33" s="177">
        <f>K33*VLOOKUP("Hours",'Model Assumptions'!$B$50:$O$72,2,FALSE)*'Building Breakdown'!$H49*'Building Breakdown'!$I49/168</f>
        <v>0</v>
      </c>
      <c r="X33" s="178">
        <f>L33*VLOOKUP("Hours",'Model Assumptions'!$B$50:$O$72,3,FALSE)*'Building Breakdown'!$H49*'Building Breakdown'!$I49/168</f>
        <v>0</v>
      </c>
      <c r="Y33" s="178">
        <f>M33*VLOOKUP("Hours",'Model Assumptions'!$B$50:$O$72,4,FALSE)*'Building Breakdown'!$H49*'Building Breakdown'!$I49/168</f>
        <v>0</v>
      </c>
      <c r="Z33" s="178">
        <f>N33*VLOOKUP("Hours",'Model Assumptions'!$B$50:$O$72,5,FALSE)*'Building Breakdown'!$H49*'Building Breakdown'!$I49/168</f>
        <v>0</v>
      </c>
      <c r="AA33" s="178">
        <f>O33*VLOOKUP("Hours",'Model Assumptions'!$B$50:$O$72,6,FALSE)*'Building Breakdown'!$H49*'Building Breakdown'!$I49/168</f>
        <v>0</v>
      </c>
      <c r="AB33" s="178">
        <f>P33*VLOOKUP("Hours",'Model Assumptions'!$B$50:$O$72,7,FALSE)*'Building Breakdown'!$H49*'Building Breakdown'!$I49/168</f>
        <v>0</v>
      </c>
      <c r="AC33" s="178">
        <f>Q33*VLOOKUP("Hours",'Model Assumptions'!$B$50:$O$72,8,FALSE)*'Building Breakdown'!$H49*'Building Breakdown'!$I49/168</f>
        <v>0</v>
      </c>
      <c r="AD33" s="178">
        <f>R33*VLOOKUP("Hours",'Model Assumptions'!$B$50:$O$72,9,FALSE)*'Building Breakdown'!$H49*'Building Breakdown'!$I49/168</f>
        <v>0</v>
      </c>
      <c r="AE33" s="178">
        <f>S33*VLOOKUP("Hours",'Model Assumptions'!$B$50:$O$72,10,FALSE)*'Building Breakdown'!$H49*'Building Breakdown'!$I49/168</f>
        <v>0</v>
      </c>
      <c r="AF33" s="178">
        <f>T33*VLOOKUP("Hours",'Model Assumptions'!$B$50:$O$72,11,FALSE)*'Building Breakdown'!$H49*'Building Breakdown'!$I49/168</f>
        <v>0</v>
      </c>
      <c r="AG33" s="178">
        <f>U33*VLOOKUP("Hours",'Model Assumptions'!$B$50:$O$72,12,FALSE)*'Building Breakdown'!$H49*'Building Breakdown'!$I49/168</f>
        <v>0</v>
      </c>
      <c r="AH33" s="179">
        <f>V33*VLOOKUP("Hours",'Model Assumptions'!$B$50:$O$72,13,FALSE)*'Building Breakdown'!$H49*'Building Breakdown'!$I49/168</f>
        <v>0</v>
      </c>
      <c r="AI33" s="234">
        <f t="shared" si="11"/>
        <v>0</v>
      </c>
      <c r="AJ33" s="234">
        <f>'Building Breakdown'!AW49</f>
        <v>0</v>
      </c>
      <c r="AK33" s="234">
        <f t="shared" si="6"/>
        <v>0</v>
      </c>
      <c r="AL33" s="235">
        <f>IF(EXACT('Fabric Changes'!C33,"Yes"),IF('Building Breakdown'!$D$5="High_Security",(HLOOKUP(G33,'Model Assumptions'!$C$43:$E$45,3,FALSE)*'Building Breakdown'!S49),(HLOOKUP(G33,'Model Assumptions'!$C$43:$E$45,2,FALSE)*'Building Breakdown'!S49)),0)</f>
        <v>0</v>
      </c>
      <c r="AM33" s="236">
        <f>IF(EXACT('Fabric Changes'!D33,"Yes"),IF('Building Breakdown'!$D$5="High_Security",('Model Assumptions'!$G$45*'Building Breakdown'!T49),('Model Assumptions'!$G$44*'Building Breakdown'!T49)),0)</f>
        <v>0</v>
      </c>
      <c r="AN33" s="237">
        <f>IF(EXACT('Fabric Changes'!E33,"Yes"),IF('Building Breakdown'!$D$5="High_Security",(HLOOKUP(F33,'Model Assumptions'!C$43:K$45,3,FALSE)*'Building Breakdown'!U49),(HLOOKUP(F33,'Model Assumptions'!C$43:K$45,2,FALSE)*'Building Breakdown'!U49)),0)</f>
        <v>0</v>
      </c>
      <c r="AO33" s="238">
        <f t="shared" si="12"/>
        <v>0</v>
      </c>
      <c r="AP33" s="238">
        <f>IF('Building Breakdown'!$F49='Fabric Changes'!$AP$6,$AK33*'Building Breakdown'!$D$8,0)</f>
        <v>0</v>
      </c>
      <c r="AQ33" s="285">
        <f t="shared" si="13"/>
        <v>0</v>
      </c>
      <c r="AR33" s="287">
        <f>IF($AP33=0,0,$AK33*VLOOKUP('Building Breakdown'!$E$8,'Emission factors'!$C$4:$D$8,2,FALSE))</f>
        <v>0</v>
      </c>
      <c r="AS33" s="238">
        <f>IF('Building Breakdown'!$F49='Fabric Changes'!$AS$6,$AK33*'Building Breakdown'!$D$9,0)</f>
        <v>0</v>
      </c>
      <c r="AT33" s="285">
        <f t="shared" si="14"/>
        <v>0</v>
      </c>
      <c r="AU33" s="287">
        <f>IF($AS33=0,0,$AK33*VLOOKUP('Building Breakdown'!$E$9,'Emission factors'!$C$4:$D$8,2,FALSE))</f>
        <v>0</v>
      </c>
      <c r="AV33" s="238">
        <f>IF('Building Breakdown'!$F49='Fabric Changes'!$AV$6,$AK33*'Building Breakdown'!$D$10,0)</f>
        <v>0</v>
      </c>
      <c r="AW33" s="285">
        <f t="shared" si="5"/>
        <v>0</v>
      </c>
      <c r="AX33" s="287">
        <f>IF($AV33=0,0,$AK33*VLOOKUP('Building Breakdown'!$E$10,'Emission factors'!$C$4:$D$8,2,FALSE))</f>
        <v>0</v>
      </c>
      <c r="AY33" s="169"/>
    </row>
    <row r="34" spans="2:51" x14ac:dyDescent="0.3">
      <c r="B34" s="226" t="str">
        <f>IF('Building Breakdown'!C50="","",'Building Breakdown'!C50)</f>
        <v/>
      </c>
      <c r="C34" s="106"/>
      <c r="D34" s="106"/>
      <c r="E34" s="106"/>
      <c r="F34" s="106"/>
      <c r="G34" s="106"/>
      <c r="H34" s="177">
        <f>MIN(IF(EXACT('Fabric Changes'!C34,"Yes"),'Model Assumptions'!$B$21,'Building Breakdown'!V50),'Building Breakdown'!V50)</f>
        <v>0</v>
      </c>
      <c r="I34" s="178">
        <f>MIN(IF(EXACT('Fabric Changes'!D34,"Yes"),'Model Assumptions'!$D$21,'Building Breakdown'!W50),'Building Breakdown'!W50)</f>
        <v>0</v>
      </c>
      <c r="J34" s="182">
        <f>MIN(IF(EXACT('Fabric Changes'!E34,"Yes"),'Model Assumptions'!$E$21,'Building Breakdown'!X50),'Building Breakdown'!X50)</f>
        <v>0</v>
      </c>
      <c r="K34" s="177">
        <f>(((('Building Breakdown'!$S50*$H34)+('Building Breakdown'!$T50*$I34)+('Building Breakdown'!$U50*$J34))*('Building Breakdown'!$G50-(VLOOKUP('Building Breakdown'!$D$7,'Model Assumptions'!$B$50:$O$72,2,FALSE))))/1000)*'Building Breakdown'!$E50</f>
        <v>0</v>
      </c>
      <c r="L34" s="178">
        <f>(((('Building Breakdown'!$S50*$H34)+('Building Breakdown'!$T50*$I34)+('Building Breakdown'!$U50*$J34))*('Building Breakdown'!$G50-(VLOOKUP('Building Breakdown'!$D$7,'Model Assumptions'!$B$50:$O$72,3,FALSE))))/1000)*'Building Breakdown'!$E50</f>
        <v>0</v>
      </c>
      <c r="M34" s="178">
        <f>(((('Building Breakdown'!$S50*$H34)+('Building Breakdown'!$T50*$I34)+('Building Breakdown'!$U50*$J34))*('Building Breakdown'!$G50-(VLOOKUP('Building Breakdown'!$D$7,'Model Assumptions'!$B$50:$O$72,4,FALSE))))/1000)*'Building Breakdown'!$E50</f>
        <v>0</v>
      </c>
      <c r="N34" s="178">
        <f>(((('Building Breakdown'!$S50*$H34)+('Building Breakdown'!$T50*$I34)+('Building Breakdown'!$U50*$J34))*('Building Breakdown'!$G50-(VLOOKUP('Building Breakdown'!$D$7,'Model Assumptions'!$B$50:$O$72,5,FALSE))))/1000)*'Building Breakdown'!$E50</f>
        <v>0</v>
      </c>
      <c r="O34" s="178">
        <f>(((('Building Breakdown'!$S50*$H34)+('Building Breakdown'!$T50*$I34)+('Building Breakdown'!$U50*$J34))*('Building Breakdown'!$G50-(VLOOKUP('Building Breakdown'!$D$7,'Model Assumptions'!$B$50:$O$72,6,FALSE))))/1000)*'Building Breakdown'!$E50</f>
        <v>0</v>
      </c>
      <c r="P34" s="178">
        <f>(((('Building Breakdown'!$S50*$H34)+('Building Breakdown'!$T50*$I34)+('Building Breakdown'!$U50*$J34))*('Building Breakdown'!$G50-(VLOOKUP('Building Breakdown'!$D$7,'Model Assumptions'!$B$50:$O$72,7,FALSE))))/1000)*'Building Breakdown'!$E50</f>
        <v>0</v>
      </c>
      <c r="Q34" s="178">
        <f>(((('Building Breakdown'!$S50*$H34)+('Building Breakdown'!$T50*$I34)+('Building Breakdown'!$U50*$J34))*('Building Breakdown'!$G50-(VLOOKUP('Building Breakdown'!$D$7,'Model Assumptions'!$B$50:$O$72,8,FALSE))))/1000)*'Building Breakdown'!$E50</f>
        <v>0</v>
      </c>
      <c r="R34" s="178">
        <f>(((('Building Breakdown'!$S50*$H34)+('Building Breakdown'!$T50*$I34)+('Building Breakdown'!$U50*$J34))*('Building Breakdown'!$G50-(VLOOKUP('Building Breakdown'!$D$7,'Model Assumptions'!$B$50:$O$72,9,FALSE))))/1000)*'Building Breakdown'!$E50</f>
        <v>0</v>
      </c>
      <c r="S34" s="178">
        <f>(((('Building Breakdown'!$S50*$H34)+('Building Breakdown'!$T50*$I34)+('Building Breakdown'!$U50*$J34))*('Building Breakdown'!$G50-(VLOOKUP('Building Breakdown'!$D$7,'Model Assumptions'!$B$50:$O$72,10,FALSE))))/1000)*'Building Breakdown'!$E50</f>
        <v>0</v>
      </c>
      <c r="T34" s="178">
        <f>(((('Building Breakdown'!$S50*$H34)+('Building Breakdown'!$T50*$I34)+('Building Breakdown'!$U50*$J34))*('Building Breakdown'!$G50-(VLOOKUP('Building Breakdown'!$D$7,'Model Assumptions'!$B$50:$O$72,11,FALSE))))/1000)*'Building Breakdown'!$E50</f>
        <v>0</v>
      </c>
      <c r="U34" s="178">
        <f>(((('Building Breakdown'!$S50*$H34)+('Building Breakdown'!$T50*$I34)+('Building Breakdown'!$U50*$J34))*('Building Breakdown'!$G50-(VLOOKUP('Building Breakdown'!$D$7,'Model Assumptions'!$B$50:$O$72,12,FALSE))))/1000)*'Building Breakdown'!$E50</f>
        <v>0</v>
      </c>
      <c r="V34" s="179">
        <f>(((('Building Breakdown'!$S50*$H34)+('Building Breakdown'!$T50*$I34)+('Building Breakdown'!$U50*$J34))*('Building Breakdown'!$G50-(VLOOKUP('Building Breakdown'!$D$7,'Model Assumptions'!$B$50:$O$72,13,FALSE))))/1000)*'Building Breakdown'!$E50</f>
        <v>0</v>
      </c>
      <c r="W34" s="177">
        <f>K34*VLOOKUP("Hours",'Model Assumptions'!$B$50:$O$72,2,FALSE)*'Building Breakdown'!$H50*'Building Breakdown'!$I50/168</f>
        <v>0</v>
      </c>
      <c r="X34" s="178">
        <f>L34*VLOOKUP("Hours",'Model Assumptions'!$B$50:$O$72,3,FALSE)*'Building Breakdown'!$H50*'Building Breakdown'!$I50/168</f>
        <v>0</v>
      </c>
      <c r="Y34" s="178">
        <f>M34*VLOOKUP("Hours",'Model Assumptions'!$B$50:$O$72,4,FALSE)*'Building Breakdown'!$H50*'Building Breakdown'!$I50/168</f>
        <v>0</v>
      </c>
      <c r="Z34" s="178">
        <f>N34*VLOOKUP("Hours",'Model Assumptions'!$B$50:$O$72,5,FALSE)*'Building Breakdown'!$H50*'Building Breakdown'!$I50/168</f>
        <v>0</v>
      </c>
      <c r="AA34" s="178">
        <f>O34*VLOOKUP("Hours",'Model Assumptions'!$B$50:$O$72,6,FALSE)*'Building Breakdown'!$H50*'Building Breakdown'!$I50/168</f>
        <v>0</v>
      </c>
      <c r="AB34" s="178">
        <f>P34*VLOOKUP("Hours",'Model Assumptions'!$B$50:$O$72,7,FALSE)*'Building Breakdown'!$H50*'Building Breakdown'!$I50/168</f>
        <v>0</v>
      </c>
      <c r="AC34" s="178">
        <f>Q34*VLOOKUP("Hours",'Model Assumptions'!$B$50:$O$72,8,FALSE)*'Building Breakdown'!$H50*'Building Breakdown'!$I50/168</f>
        <v>0</v>
      </c>
      <c r="AD34" s="178">
        <f>R34*VLOOKUP("Hours",'Model Assumptions'!$B$50:$O$72,9,FALSE)*'Building Breakdown'!$H50*'Building Breakdown'!$I50/168</f>
        <v>0</v>
      </c>
      <c r="AE34" s="178">
        <f>S34*VLOOKUP("Hours",'Model Assumptions'!$B$50:$O$72,10,FALSE)*'Building Breakdown'!$H50*'Building Breakdown'!$I50/168</f>
        <v>0</v>
      </c>
      <c r="AF34" s="178">
        <f>T34*VLOOKUP("Hours",'Model Assumptions'!$B$50:$O$72,11,FALSE)*'Building Breakdown'!$H50*'Building Breakdown'!$I50/168</f>
        <v>0</v>
      </c>
      <c r="AG34" s="178">
        <f>U34*VLOOKUP("Hours",'Model Assumptions'!$B$50:$O$72,12,FALSE)*'Building Breakdown'!$H50*'Building Breakdown'!$I50/168</f>
        <v>0</v>
      </c>
      <c r="AH34" s="179">
        <f>V34*VLOOKUP("Hours",'Model Assumptions'!$B$50:$O$72,13,FALSE)*'Building Breakdown'!$H50*'Building Breakdown'!$I50/168</f>
        <v>0</v>
      </c>
      <c r="AI34" s="234">
        <f t="shared" si="11"/>
        <v>0</v>
      </c>
      <c r="AJ34" s="234">
        <f>'Building Breakdown'!AW50</f>
        <v>0</v>
      </c>
      <c r="AK34" s="234">
        <f t="shared" si="6"/>
        <v>0</v>
      </c>
      <c r="AL34" s="235">
        <f>IF(EXACT('Fabric Changes'!C34,"Yes"),IF('Building Breakdown'!$D$5="High_Security",(HLOOKUP(G34,'Model Assumptions'!$C$43:$E$45,3,FALSE)*'Building Breakdown'!S50),(HLOOKUP(G34,'Model Assumptions'!$C$43:$E$45,2,FALSE)*'Building Breakdown'!S50)),0)</f>
        <v>0</v>
      </c>
      <c r="AM34" s="236">
        <f>IF(EXACT('Fabric Changes'!D34,"Yes"),IF('Building Breakdown'!$D$5="High_Security",('Model Assumptions'!$G$45*'Building Breakdown'!T50),('Model Assumptions'!$G$44*'Building Breakdown'!T50)),0)</f>
        <v>0</v>
      </c>
      <c r="AN34" s="237">
        <f>IF(EXACT('Fabric Changes'!E34,"Yes"),IF('Building Breakdown'!$D$5="High_Security",(HLOOKUP(F34,'Model Assumptions'!C$43:K$45,3,FALSE)*'Building Breakdown'!U50),(HLOOKUP(F34,'Model Assumptions'!C$43:K$45,2,FALSE)*'Building Breakdown'!U50)),0)</f>
        <v>0</v>
      </c>
      <c r="AO34" s="238">
        <f t="shared" si="12"/>
        <v>0</v>
      </c>
      <c r="AP34" s="238">
        <f>IF('Building Breakdown'!$F50='Fabric Changes'!$AP$6,$AK34*'Building Breakdown'!$D$8,0)</f>
        <v>0</v>
      </c>
      <c r="AQ34" s="285">
        <f t="shared" si="13"/>
        <v>0</v>
      </c>
      <c r="AR34" s="287">
        <f>IF($AP34=0,0,$AK34*VLOOKUP('Building Breakdown'!$E$8,'Emission factors'!$C$4:$D$8,2,FALSE))</f>
        <v>0</v>
      </c>
      <c r="AS34" s="238">
        <f>IF('Building Breakdown'!$F50='Fabric Changes'!$AS$6,$AK34*'Building Breakdown'!$D$9,0)</f>
        <v>0</v>
      </c>
      <c r="AT34" s="285">
        <f t="shared" si="14"/>
        <v>0</v>
      </c>
      <c r="AU34" s="287">
        <f>IF($AS34=0,0,$AK34*VLOOKUP('Building Breakdown'!$E$9,'Emission factors'!$C$4:$D$8,2,FALSE))</f>
        <v>0</v>
      </c>
      <c r="AV34" s="238">
        <f>IF('Building Breakdown'!$F50='Fabric Changes'!$AV$6,$AK34*'Building Breakdown'!$D$10,0)</f>
        <v>0</v>
      </c>
      <c r="AW34" s="285">
        <f t="shared" si="5"/>
        <v>0</v>
      </c>
      <c r="AX34" s="287">
        <f>IF($AV34=0,0,$AK34*VLOOKUP('Building Breakdown'!$E$10,'Emission factors'!$C$4:$D$8,2,FALSE))</f>
        <v>0</v>
      </c>
      <c r="AY34" s="169"/>
    </row>
    <row r="35" spans="2:51" x14ac:dyDescent="0.3">
      <c r="B35" s="226" t="str">
        <f>IF('Building Breakdown'!C51="","",'Building Breakdown'!C51)</f>
        <v/>
      </c>
      <c r="C35" s="106"/>
      <c r="D35" s="106"/>
      <c r="E35" s="106"/>
      <c r="F35" s="106"/>
      <c r="G35" s="106"/>
      <c r="H35" s="177">
        <f>MIN(IF(EXACT('Fabric Changes'!C35,"Yes"),'Model Assumptions'!$B$21,'Building Breakdown'!V51),'Building Breakdown'!V51)</f>
        <v>0</v>
      </c>
      <c r="I35" s="178">
        <f>MIN(IF(EXACT('Fabric Changes'!D35,"Yes"),'Model Assumptions'!$D$21,'Building Breakdown'!W51),'Building Breakdown'!W51)</f>
        <v>0</v>
      </c>
      <c r="J35" s="182">
        <f>MIN(IF(EXACT('Fabric Changes'!E35,"Yes"),'Model Assumptions'!$E$21,'Building Breakdown'!X51),'Building Breakdown'!X51)</f>
        <v>0</v>
      </c>
      <c r="K35" s="177">
        <f>(((('Building Breakdown'!$S51*$H35)+('Building Breakdown'!$T51*$I35)+('Building Breakdown'!$U51*$J35))*('Building Breakdown'!$G51-(VLOOKUP('Building Breakdown'!$D$7,'Model Assumptions'!$B$50:$O$72,2,FALSE))))/1000)*'Building Breakdown'!$E51</f>
        <v>0</v>
      </c>
      <c r="L35" s="178">
        <f>(((('Building Breakdown'!$S51*$H35)+('Building Breakdown'!$T51*$I35)+('Building Breakdown'!$U51*$J35))*('Building Breakdown'!$G51-(VLOOKUP('Building Breakdown'!$D$7,'Model Assumptions'!$B$50:$O$72,3,FALSE))))/1000)*'Building Breakdown'!$E51</f>
        <v>0</v>
      </c>
      <c r="M35" s="178">
        <f>(((('Building Breakdown'!$S51*$H35)+('Building Breakdown'!$T51*$I35)+('Building Breakdown'!$U51*$J35))*('Building Breakdown'!$G51-(VLOOKUP('Building Breakdown'!$D$7,'Model Assumptions'!$B$50:$O$72,4,FALSE))))/1000)*'Building Breakdown'!$E51</f>
        <v>0</v>
      </c>
      <c r="N35" s="178">
        <f>(((('Building Breakdown'!$S51*$H35)+('Building Breakdown'!$T51*$I35)+('Building Breakdown'!$U51*$J35))*('Building Breakdown'!$G51-(VLOOKUP('Building Breakdown'!$D$7,'Model Assumptions'!$B$50:$O$72,5,FALSE))))/1000)*'Building Breakdown'!$E51</f>
        <v>0</v>
      </c>
      <c r="O35" s="178">
        <f>(((('Building Breakdown'!$S51*$H35)+('Building Breakdown'!$T51*$I35)+('Building Breakdown'!$U51*$J35))*('Building Breakdown'!$G51-(VLOOKUP('Building Breakdown'!$D$7,'Model Assumptions'!$B$50:$O$72,6,FALSE))))/1000)*'Building Breakdown'!$E51</f>
        <v>0</v>
      </c>
      <c r="P35" s="178">
        <f>(((('Building Breakdown'!$S51*$H35)+('Building Breakdown'!$T51*$I35)+('Building Breakdown'!$U51*$J35))*('Building Breakdown'!$G51-(VLOOKUP('Building Breakdown'!$D$7,'Model Assumptions'!$B$50:$O$72,7,FALSE))))/1000)*'Building Breakdown'!$E51</f>
        <v>0</v>
      </c>
      <c r="Q35" s="178">
        <f>(((('Building Breakdown'!$S51*$H35)+('Building Breakdown'!$T51*$I35)+('Building Breakdown'!$U51*$J35))*('Building Breakdown'!$G51-(VLOOKUP('Building Breakdown'!$D$7,'Model Assumptions'!$B$50:$O$72,8,FALSE))))/1000)*'Building Breakdown'!$E51</f>
        <v>0</v>
      </c>
      <c r="R35" s="178">
        <f>(((('Building Breakdown'!$S51*$H35)+('Building Breakdown'!$T51*$I35)+('Building Breakdown'!$U51*$J35))*('Building Breakdown'!$G51-(VLOOKUP('Building Breakdown'!$D$7,'Model Assumptions'!$B$50:$O$72,9,FALSE))))/1000)*'Building Breakdown'!$E51</f>
        <v>0</v>
      </c>
      <c r="S35" s="178">
        <f>(((('Building Breakdown'!$S51*$H35)+('Building Breakdown'!$T51*$I35)+('Building Breakdown'!$U51*$J35))*('Building Breakdown'!$G51-(VLOOKUP('Building Breakdown'!$D$7,'Model Assumptions'!$B$50:$O$72,10,FALSE))))/1000)*'Building Breakdown'!$E51</f>
        <v>0</v>
      </c>
      <c r="T35" s="178">
        <f>(((('Building Breakdown'!$S51*$H35)+('Building Breakdown'!$T51*$I35)+('Building Breakdown'!$U51*$J35))*('Building Breakdown'!$G51-(VLOOKUP('Building Breakdown'!$D$7,'Model Assumptions'!$B$50:$O$72,11,FALSE))))/1000)*'Building Breakdown'!$E51</f>
        <v>0</v>
      </c>
      <c r="U35" s="178">
        <f>(((('Building Breakdown'!$S51*$H35)+('Building Breakdown'!$T51*$I35)+('Building Breakdown'!$U51*$J35))*('Building Breakdown'!$G51-(VLOOKUP('Building Breakdown'!$D$7,'Model Assumptions'!$B$50:$O$72,12,FALSE))))/1000)*'Building Breakdown'!$E51</f>
        <v>0</v>
      </c>
      <c r="V35" s="179">
        <f>(((('Building Breakdown'!$S51*$H35)+('Building Breakdown'!$T51*$I35)+('Building Breakdown'!$U51*$J35))*('Building Breakdown'!$G51-(VLOOKUP('Building Breakdown'!$D$7,'Model Assumptions'!$B$50:$O$72,13,FALSE))))/1000)*'Building Breakdown'!$E51</f>
        <v>0</v>
      </c>
      <c r="W35" s="177">
        <f>K35*VLOOKUP("Hours",'Model Assumptions'!$B$50:$O$72,2,FALSE)*'Building Breakdown'!$H51*'Building Breakdown'!$I51/168</f>
        <v>0</v>
      </c>
      <c r="X35" s="178">
        <f>L35*VLOOKUP("Hours",'Model Assumptions'!$B$50:$O$72,3,FALSE)*'Building Breakdown'!$H51*'Building Breakdown'!$I51/168</f>
        <v>0</v>
      </c>
      <c r="Y35" s="178">
        <f>M35*VLOOKUP("Hours",'Model Assumptions'!$B$50:$O$72,4,FALSE)*'Building Breakdown'!$H51*'Building Breakdown'!$I51/168</f>
        <v>0</v>
      </c>
      <c r="Z35" s="178">
        <f>N35*VLOOKUP("Hours",'Model Assumptions'!$B$50:$O$72,5,FALSE)*'Building Breakdown'!$H51*'Building Breakdown'!$I51/168</f>
        <v>0</v>
      </c>
      <c r="AA35" s="178">
        <f>O35*VLOOKUP("Hours",'Model Assumptions'!$B$50:$O$72,6,FALSE)*'Building Breakdown'!$H51*'Building Breakdown'!$I51/168</f>
        <v>0</v>
      </c>
      <c r="AB35" s="178">
        <f>P35*VLOOKUP("Hours",'Model Assumptions'!$B$50:$O$72,7,FALSE)*'Building Breakdown'!$H51*'Building Breakdown'!$I51/168</f>
        <v>0</v>
      </c>
      <c r="AC35" s="178">
        <f>Q35*VLOOKUP("Hours",'Model Assumptions'!$B$50:$O$72,8,FALSE)*'Building Breakdown'!$H51*'Building Breakdown'!$I51/168</f>
        <v>0</v>
      </c>
      <c r="AD35" s="178">
        <f>R35*VLOOKUP("Hours",'Model Assumptions'!$B$50:$O$72,9,FALSE)*'Building Breakdown'!$H51*'Building Breakdown'!$I51/168</f>
        <v>0</v>
      </c>
      <c r="AE35" s="178">
        <f>S35*VLOOKUP("Hours",'Model Assumptions'!$B$50:$O$72,10,FALSE)*'Building Breakdown'!$H51*'Building Breakdown'!$I51/168</f>
        <v>0</v>
      </c>
      <c r="AF35" s="178">
        <f>T35*VLOOKUP("Hours",'Model Assumptions'!$B$50:$O$72,11,FALSE)*'Building Breakdown'!$H51*'Building Breakdown'!$I51/168</f>
        <v>0</v>
      </c>
      <c r="AG35" s="178">
        <f>U35*VLOOKUP("Hours",'Model Assumptions'!$B$50:$O$72,12,FALSE)*'Building Breakdown'!$H51*'Building Breakdown'!$I51/168</f>
        <v>0</v>
      </c>
      <c r="AH35" s="179">
        <f>V35*VLOOKUP("Hours",'Model Assumptions'!$B$50:$O$72,13,FALSE)*'Building Breakdown'!$H51*'Building Breakdown'!$I51/168</f>
        <v>0</v>
      </c>
      <c r="AI35" s="234">
        <f t="shared" si="11"/>
        <v>0</v>
      </c>
      <c r="AJ35" s="234">
        <f>'Building Breakdown'!AW51</f>
        <v>0</v>
      </c>
      <c r="AK35" s="234">
        <f t="shared" si="6"/>
        <v>0</v>
      </c>
      <c r="AL35" s="235">
        <f>IF(EXACT('Fabric Changes'!C35,"Yes"),IF('Building Breakdown'!$D$5="High_Security",(HLOOKUP(G35,'Model Assumptions'!$C$43:$E$45,3,FALSE)*'Building Breakdown'!S51),(HLOOKUP(G35,'Model Assumptions'!$C$43:$E$45,2,FALSE)*'Building Breakdown'!S51)),0)</f>
        <v>0</v>
      </c>
      <c r="AM35" s="236">
        <f>IF(EXACT('Fabric Changes'!D35,"Yes"),IF('Building Breakdown'!$D$5="High_Security",('Model Assumptions'!$G$45*'Building Breakdown'!T51),('Model Assumptions'!$G$44*'Building Breakdown'!T51)),0)</f>
        <v>0</v>
      </c>
      <c r="AN35" s="237">
        <f>IF(EXACT('Fabric Changes'!E35,"Yes"),IF('Building Breakdown'!$D$5="High_Security",(HLOOKUP(F35,'Model Assumptions'!C$43:K$45,3,FALSE)*'Building Breakdown'!U51),(HLOOKUP(F35,'Model Assumptions'!C$43:K$45,2,FALSE)*'Building Breakdown'!U51)),0)</f>
        <v>0</v>
      </c>
      <c r="AO35" s="238">
        <f t="shared" si="12"/>
        <v>0</v>
      </c>
      <c r="AP35" s="238">
        <f>IF('Building Breakdown'!$F51='Fabric Changes'!$AP$6,$AK35*'Building Breakdown'!$D$8,0)</f>
        <v>0</v>
      </c>
      <c r="AQ35" s="285">
        <f t="shared" si="13"/>
        <v>0</v>
      </c>
      <c r="AR35" s="287">
        <f>IF($AP35=0,0,$AK35*VLOOKUP('Building Breakdown'!$E$8,'Emission factors'!$C$4:$D$8,2,FALSE))</f>
        <v>0</v>
      </c>
      <c r="AS35" s="238">
        <f>IF('Building Breakdown'!$F51='Fabric Changes'!$AS$6,$AK35*'Building Breakdown'!$D$9,0)</f>
        <v>0</v>
      </c>
      <c r="AT35" s="285">
        <f t="shared" si="14"/>
        <v>0</v>
      </c>
      <c r="AU35" s="287">
        <f>IF($AS35=0,0,$AK35*VLOOKUP('Building Breakdown'!$E$9,'Emission factors'!$C$4:$D$8,2,FALSE))</f>
        <v>0</v>
      </c>
      <c r="AV35" s="238">
        <f>IF('Building Breakdown'!$F51='Fabric Changes'!$AV$6,$AK35*'Building Breakdown'!$D$10,0)</f>
        <v>0</v>
      </c>
      <c r="AW35" s="285">
        <f t="shared" si="5"/>
        <v>0</v>
      </c>
      <c r="AX35" s="287">
        <f>IF($AV35=0,0,$AK35*VLOOKUP('Building Breakdown'!$E$10,'Emission factors'!$C$4:$D$8,2,FALSE))</f>
        <v>0</v>
      </c>
      <c r="AY35" s="169"/>
    </row>
    <row r="36" spans="2:51" x14ac:dyDescent="0.3">
      <c r="B36" s="226" t="str">
        <f>IF('Building Breakdown'!C52="","",'Building Breakdown'!C52)</f>
        <v/>
      </c>
      <c r="C36" s="106"/>
      <c r="D36" s="106"/>
      <c r="E36" s="106"/>
      <c r="F36" s="106"/>
      <c r="G36" s="106"/>
      <c r="H36" s="177">
        <f>MIN(IF(EXACT('Fabric Changes'!C36,"Yes"),'Model Assumptions'!$B$21,'Building Breakdown'!V52),'Building Breakdown'!V52)</f>
        <v>0</v>
      </c>
      <c r="I36" s="178">
        <f>MIN(IF(EXACT('Fabric Changes'!D36,"Yes"),'Model Assumptions'!$D$21,'Building Breakdown'!W52),'Building Breakdown'!W52)</f>
        <v>0</v>
      </c>
      <c r="J36" s="182">
        <f>MIN(IF(EXACT('Fabric Changes'!E36,"Yes"),'Model Assumptions'!$E$21,'Building Breakdown'!X52),'Building Breakdown'!X52)</f>
        <v>0</v>
      </c>
      <c r="K36" s="177">
        <f>(((('Building Breakdown'!$S52*$H36)+('Building Breakdown'!$T52*$I36)+('Building Breakdown'!$U52*$J36))*('Building Breakdown'!$G52-(VLOOKUP('Building Breakdown'!$D$7,'Model Assumptions'!$B$50:$O$72,2,FALSE))))/1000)*'Building Breakdown'!$E52</f>
        <v>0</v>
      </c>
      <c r="L36" s="178">
        <f>(((('Building Breakdown'!$S52*$H36)+('Building Breakdown'!$T52*$I36)+('Building Breakdown'!$U52*$J36))*('Building Breakdown'!$G52-(VLOOKUP('Building Breakdown'!$D$7,'Model Assumptions'!$B$50:$O$72,3,FALSE))))/1000)*'Building Breakdown'!$E52</f>
        <v>0</v>
      </c>
      <c r="M36" s="178">
        <f>(((('Building Breakdown'!$S52*$H36)+('Building Breakdown'!$T52*$I36)+('Building Breakdown'!$U52*$J36))*('Building Breakdown'!$G52-(VLOOKUP('Building Breakdown'!$D$7,'Model Assumptions'!$B$50:$O$72,4,FALSE))))/1000)*'Building Breakdown'!$E52</f>
        <v>0</v>
      </c>
      <c r="N36" s="178">
        <f>(((('Building Breakdown'!$S52*$H36)+('Building Breakdown'!$T52*$I36)+('Building Breakdown'!$U52*$J36))*('Building Breakdown'!$G52-(VLOOKUP('Building Breakdown'!$D$7,'Model Assumptions'!$B$50:$O$72,5,FALSE))))/1000)*'Building Breakdown'!$E52</f>
        <v>0</v>
      </c>
      <c r="O36" s="178">
        <f>(((('Building Breakdown'!$S52*$H36)+('Building Breakdown'!$T52*$I36)+('Building Breakdown'!$U52*$J36))*('Building Breakdown'!$G52-(VLOOKUP('Building Breakdown'!$D$7,'Model Assumptions'!$B$50:$O$72,6,FALSE))))/1000)*'Building Breakdown'!$E52</f>
        <v>0</v>
      </c>
      <c r="P36" s="178">
        <f>(((('Building Breakdown'!$S52*$H36)+('Building Breakdown'!$T52*$I36)+('Building Breakdown'!$U52*$J36))*('Building Breakdown'!$G52-(VLOOKUP('Building Breakdown'!$D$7,'Model Assumptions'!$B$50:$O$72,7,FALSE))))/1000)*'Building Breakdown'!$E52</f>
        <v>0</v>
      </c>
      <c r="Q36" s="178">
        <f>(((('Building Breakdown'!$S52*$H36)+('Building Breakdown'!$T52*$I36)+('Building Breakdown'!$U52*$J36))*('Building Breakdown'!$G52-(VLOOKUP('Building Breakdown'!$D$7,'Model Assumptions'!$B$50:$O$72,8,FALSE))))/1000)*'Building Breakdown'!$E52</f>
        <v>0</v>
      </c>
      <c r="R36" s="178">
        <f>(((('Building Breakdown'!$S52*$H36)+('Building Breakdown'!$T52*$I36)+('Building Breakdown'!$U52*$J36))*('Building Breakdown'!$G52-(VLOOKUP('Building Breakdown'!$D$7,'Model Assumptions'!$B$50:$O$72,9,FALSE))))/1000)*'Building Breakdown'!$E52</f>
        <v>0</v>
      </c>
      <c r="S36" s="178">
        <f>(((('Building Breakdown'!$S52*$H36)+('Building Breakdown'!$T52*$I36)+('Building Breakdown'!$U52*$J36))*('Building Breakdown'!$G52-(VLOOKUP('Building Breakdown'!$D$7,'Model Assumptions'!$B$50:$O$72,10,FALSE))))/1000)*'Building Breakdown'!$E52</f>
        <v>0</v>
      </c>
      <c r="T36" s="178">
        <f>(((('Building Breakdown'!$S52*$H36)+('Building Breakdown'!$T52*$I36)+('Building Breakdown'!$U52*$J36))*('Building Breakdown'!$G52-(VLOOKUP('Building Breakdown'!$D$7,'Model Assumptions'!$B$50:$O$72,11,FALSE))))/1000)*'Building Breakdown'!$E52</f>
        <v>0</v>
      </c>
      <c r="U36" s="178">
        <f>(((('Building Breakdown'!$S52*$H36)+('Building Breakdown'!$T52*$I36)+('Building Breakdown'!$U52*$J36))*('Building Breakdown'!$G52-(VLOOKUP('Building Breakdown'!$D$7,'Model Assumptions'!$B$50:$O$72,12,FALSE))))/1000)*'Building Breakdown'!$E52</f>
        <v>0</v>
      </c>
      <c r="V36" s="179">
        <f>(((('Building Breakdown'!$S52*$H36)+('Building Breakdown'!$T52*$I36)+('Building Breakdown'!$U52*$J36))*('Building Breakdown'!$G52-(VLOOKUP('Building Breakdown'!$D$7,'Model Assumptions'!$B$50:$O$72,13,FALSE))))/1000)*'Building Breakdown'!$E52</f>
        <v>0</v>
      </c>
      <c r="W36" s="177">
        <f>K36*VLOOKUP("Hours",'Model Assumptions'!$B$50:$O$72,2,FALSE)*'Building Breakdown'!$H52*'Building Breakdown'!$I52/168</f>
        <v>0</v>
      </c>
      <c r="X36" s="178">
        <f>L36*VLOOKUP("Hours",'Model Assumptions'!$B$50:$O$72,3,FALSE)*'Building Breakdown'!$H52*'Building Breakdown'!$I52/168</f>
        <v>0</v>
      </c>
      <c r="Y36" s="178">
        <f>M36*VLOOKUP("Hours",'Model Assumptions'!$B$50:$O$72,4,FALSE)*'Building Breakdown'!$H52*'Building Breakdown'!$I52/168</f>
        <v>0</v>
      </c>
      <c r="Z36" s="178">
        <f>N36*VLOOKUP("Hours",'Model Assumptions'!$B$50:$O$72,5,FALSE)*'Building Breakdown'!$H52*'Building Breakdown'!$I52/168</f>
        <v>0</v>
      </c>
      <c r="AA36" s="178">
        <f>O36*VLOOKUP("Hours",'Model Assumptions'!$B$50:$O$72,6,FALSE)*'Building Breakdown'!$H52*'Building Breakdown'!$I52/168</f>
        <v>0</v>
      </c>
      <c r="AB36" s="178">
        <f>P36*VLOOKUP("Hours",'Model Assumptions'!$B$50:$O$72,7,FALSE)*'Building Breakdown'!$H52*'Building Breakdown'!$I52/168</f>
        <v>0</v>
      </c>
      <c r="AC36" s="178">
        <f>Q36*VLOOKUP("Hours",'Model Assumptions'!$B$50:$O$72,8,FALSE)*'Building Breakdown'!$H52*'Building Breakdown'!$I52/168</f>
        <v>0</v>
      </c>
      <c r="AD36" s="178">
        <f>R36*VLOOKUP("Hours",'Model Assumptions'!$B$50:$O$72,9,FALSE)*'Building Breakdown'!$H52*'Building Breakdown'!$I52/168</f>
        <v>0</v>
      </c>
      <c r="AE36" s="178">
        <f>S36*VLOOKUP("Hours",'Model Assumptions'!$B$50:$O$72,10,FALSE)*'Building Breakdown'!$H52*'Building Breakdown'!$I52/168</f>
        <v>0</v>
      </c>
      <c r="AF36" s="178">
        <f>T36*VLOOKUP("Hours",'Model Assumptions'!$B$50:$O$72,11,FALSE)*'Building Breakdown'!$H52*'Building Breakdown'!$I52/168</f>
        <v>0</v>
      </c>
      <c r="AG36" s="178">
        <f>U36*VLOOKUP("Hours",'Model Assumptions'!$B$50:$O$72,12,FALSE)*'Building Breakdown'!$H52*'Building Breakdown'!$I52/168</f>
        <v>0</v>
      </c>
      <c r="AH36" s="179">
        <f>V36*VLOOKUP("Hours",'Model Assumptions'!$B$50:$O$72,13,FALSE)*'Building Breakdown'!$H52*'Building Breakdown'!$I52/168</f>
        <v>0</v>
      </c>
      <c r="AI36" s="234">
        <f t="shared" si="11"/>
        <v>0</v>
      </c>
      <c r="AJ36" s="234">
        <f>'Building Breakdown'!AW52</f>
        <v>0</v>
      </c>
      <c r="AK36" s="234">
        <f t="shared" si="6"/>
        <v>0</v>
      </c>
      <c r="AL36" s="235">
        <f>IF(EXACT('Fabric Changes'!C36,"Yes"),IF('Building Breakdown'!$D$5="High_Security",(HLOOKUP(G36,'Model Assumptions'!$C$43:$E$45,3,FALSE)*'Building Breakdown'!S52),(HLOOKUP(G36,'Model Assumptions'!$C$43:$E$45,2,FALSE)*'Building Breakdown'!S52)),0)</f>
        <v>0</v>
      </c>
      <c r="AM36" s="236">
        <f>IF(EXACT('Fabric Changes'!D36,"Yes"),IF('Building Breakdown'!$D$5="High_Security",('Model Assumptions'!$G$45*'Building Breakdown'!T52),('Model Assumptions'!$G$44*'Building Breakdown'!T52)),0)</f>
        <v>0</v>
      </c>
      <c r="AN36" s="237">
        <f>IF(EXACT('Fabric Changes'!E36,"Yes"),IF('Building Breakdown'!$D$5="High_Security",(HLOOKUP(F36,'Model Assumptions'!C$43:K$45,3,FALSE)*'Building Breakdown'!U52),(HLOOKUP(F36,'Model Assumptions'!C$43:K$45,2,FALSE)*'Building Breakdown'!U52)),0)</f>
        <v>0</v>
      </c>
      <c r="AO36" s="238">
        <f t="shared" si="12"/>
        <v>0</v>
      </c>
      <c r="AP36" s="238">
        <f>IF('Building Breakdown'!$F52='Fabric Changes'!$AP$6,$AK36*'Building Breakdown'!$D$8,0)</f>
        <v>0</v>
      </c>
      <c r="AQ36" s="285">
        <f t="shared" si="13"/>
        <v>0</v>
      </c>
      <c r="AR36" s="287">
        <f>IF($AP36=0,0,$AK36*VLOOKUP('Building Breakdown'!$E$8,'Emission factors'!$C$4:$D$8,2,FALSE))</f>
        <v>0</v>
      </c>
      <c r="AS36" s="238">
        <f>IF('Building Breakdown'!$F52='Fabric Changes'!$AS$6,$AK36*'Building Breakdown'!$D$9,0)</f>
        <v>0</v>
      </c>
      <c r="AT36" s="285">
        <f t="shared" si="14"/>
        <v>0</v>
      </c>
      <c r="AU36" s="287">
        <f>IF($AS36=0,0,$AK36*VLOOKUP('Building Breakdown'!$E$9,'Emission factors'!$C$4:$D$8,2,FALSE))</f>
        <v>0</v>
      </c>
      <c r="AV36" s="238">
        <f>IF('Building Breakdown'!$F52='Fabric Changes'!$AV$6,$AK36*'Building Breakdown'!$D$10,0)</f>
        <v>0</v>
      </c>
      <c r="AW36" s="285">
        <f t="shared" si="5"/>
        <v>0</v>
      </c>
      <c r="AX36" s="287">
        <f>IF($AV36=0,0,$AK36*VLOOKUP('Building Breakdown'!$E$10,'Emission factors'!$C$4:$D$8,2,FALSE))</f>
        <v>0</v>
      </c>
      <c r="AY36" s="169"/>
    </row>
    <row r="37" spans="2:51" x14ac:dyDescent="0.3">
      <c r="B37" s="226" t="str">
        <f>IF('Building Breakdown'!C53="","",'Building Breakdown'!C53)</f>
        <v/>
      </c>
      <c r="C37" s="106"/>
      <c r="D37" s="106"/>
      <c r="E37" s="106"/>
      <c r="F37" s="106"/>
      <c r="G37" s="106"/>
      <c r="H37" s="177">
        <f>MIN(IF(EXACT('Fabric Changes'!C37,"Yes"),'Model Assumptions'!$B$21,'Building Breakdown'!V53),'Building Breakdown'!V53)</f>
        <v>0</v>
      </c>
      <c r="I37" s="178">
        <f>MIN(IF(EXACT('Fabric Changes'!D37,"Yes"),'Model Assumptions'!$D$21,'Building Breakdown'!W53),'Building Breakdown'!W53)</f>
        <v>0</v>
      </c>
      <c r="J37" s="182">
        <f>MIN(IF(EXACT('Fabric Changes'!E37,"Yes"),'Model Assumptions'!$E$21,'Building Breakdown'!X53),'Building Breakdown'!X53)</f>
        <v>0</v>
      </c>
      <c r="K37" s="177">
        <f>(((('Building Breakdown'!$S53*$H37)+('Building Breakdown'!$T53*$I37)+('Building Breakdown'!$U53*$J37))*('Building Breakdown'!$G53-(VLOOKUP('Building Breakdown'!$D$7,'Model Assumptions'!$B$50:$O$72,2,FALSE))))/1000)*'Building Breakdown'!$E53</f>
        <v>0</v>
      </c>
      <c r="L37" s="178">
        <f>(((('Building Breakdown'!$S53*$H37)+('Building Breakdown'!$T53*$I37)+('Building Breakdown'!$U53*$J37))*('Building Breakdown'!$G53-(VLOOKUP('Building Breakdown'!$D$7,'Model Assumptions'!$B$50:$O$72,3,FALSE))))/1000)*'Building Breakdown'!$E53</f>
        <v>0</v>
      </c>
      <c r="M37" s="178">
        <f>(((('Building Breakdown'!$S53*$H37)+('Building Breakdown'!$T53*$I37)+('Building Breakdown'!$U53*$J37))*('Building Breakdown'!$G53-(VLOOKUP('Building Breakdown'!$D$7,'Model Assumptions'!$B$50:$O$72,4,FALSE))))/1000)*'Building Breakdown'!$E53</f>
        <v>0</v>
      </c>
      <c r="N37" s="178">
        <f>(((('Building Breakdown'!$S53*$H37)+('Building Breakdown'!$T53*$I37)+('Building Breakdown'!$U53*$J37))*('Building Breakdown'!$G53-(VLOOKUP('Building Breakdown'!$D$7,'Model Assumptions'!$B$50:$O$72,5,FALSE))))/1000)*'Building Breakdown'!$E53</f>
        <v>0</v>
      </c>
      <c r="O37" s="178">
        <f>(((('Building Breakdown'!$S53*$H37)+('Building Breakdown'!$T53*$I37)+('Building Breakdown'!$U53*$J37))*('Building Breakdown'!$G53-(VLOOKUP('Building Breakdown'!$D$7,'Model Assumptions'!$B$50:$O$72,6,FALSE))))/1000)*'Building Breakdown'!$E53</f>
        <v>0</v>
      </c>
      <c r="P37" s="178">
        <f>(((('Building Breakdown'!$S53*$H37)+('Building Breakdown'!$T53*$I37)+('Building Breakdown'!$U53*$J37))*('Building Breakdown'!$G53-(VLOOKUP('Building Breakdown'!$D$7,'Model Assumptions'!$B$50:$O$72,7,FALSE))))/1000)*'Building Breakdown'!$E53</f>
        <v>0</v>
      </c>
      <c r="Q37" s="178">
        <f>(((('Building Breakdown'!$S53*$H37)+('Building Breakdown'!$T53*$I37)+('Building Breakdown'!$U53*$J37))*('Building Breakdown'!$G53-(VLOOKUP('Building Breakdown'!$D$7,'Model Assumptions'!$B$50:$O$72,8,FALSE))))/1000)*'Building Breakdown'!$E53</f>
        <v>0</v>
      </c>
      <c r="R37" s="178">
        <f>(((('Building Breakdown'!$S53*$H37)+('Building Breakdown'!$T53*$I37)+('Building Breakdown'!$U53*$J37))*('Building Breakdown'!$G53-(VLOOKUP('Building Breakdown'!$D$7,'Model Assumptions'!$B$50:$O$72,9,FALSE))))/1000)*'Building Breakdown'!$E53</f>
        <v>0</v>
      </c>
      <c r="S37" s="178">
        <f>(((('Building Breakdown'!$S53*$H37)+('Building Breakdown'!$T53*$I37)+('Building Breakdown'!$U53*$J37))*('Building Breakdown'!$G53-(VLOOKUP('Building Breakdown'!$D$7,'Model Assumptions'!$B$50:$O$72,10,FALSE))))/1000)*'Building Breakdown'!$E53</f>
        <v>0</v>
      </c>
      <c r="T37" s="178">
        <f>(((('Building Breakdown'!$S53*$H37)+('Building Breakdown'!$T53*$I37)+('Building Breakdown'!$U53*$J37))*('Building Breakdown'!$G53-(VLOOKUP('Building Breakdown'!$D$7,'Model Assumptions'!$B$50:$O$72,11,FALSE))))/1000)*'Building Breakdown'!$E53</f>
        <v>0</v>
      </c>
      <c r="U37" s="178">
        <f>(((('Building Breakdown'!$S53*$H37)+('Building Breakdown'!$T53*$I37)+('Building Breakdown'!$U53*$J37))*('Building Breakdown'!$G53-(VLOOKUP('Building Breakdown'!$D$7,'Model Assumptions'!$B$50:$O$72,12,FALSE))))/1000)*'Building Breakdown'!$E53</f>
        <v>0</v>
      </c>
      <c r="V37" s="179">
        <f>(((('Building Breakdown'!$S53*$H37)+('Building Breakdown'!$T53*$I37)+('Building Breakdown'!$U53*$J37))*('Building Breakdown'!$G53-(VLOOKUP('Building Breakdown'!$D$7,'Model Assumptions'!$B$50:$O$72,13,FALSE))))/1000)*'Building Breakdown'!$E53</f>
        <v>0</v>
      </c>
      <c r="W37" s="177">
        <f>K37*VLOOKUP("Hours",'Model Assumptions'!$B$50:$O$72,2,FALSE)*'Building Breakdown'!$H53*'Building Breakdown'!$I53/168</f>
        <v>0</v>
      </c>
      <c r="X37" s="178">
        <f>L37*VLOOKUP("Hours",'Model Assumptions'!$B$50:$O$72,3,FALSE)*'Building Breakdown'!$H53*'Building Breakdown'!$I53/168</f>
        <v>0</v>
      </c>
      <c r="Y37" s="178">
        <f>M37*VLOOKUP("Hours",'Model Assumptions'!$B$50:$O$72,4,FALSE)*'Building Breakdown'!$H53*'Building Breakdown'!$I53/168</f>
        <v>0</v>
      </c>
      <c r="Z37" s="178">
        <f>N37*VLOOKUP("Hours",'Model Assumptions'!$B$50:$O$72,5,FALSE)*'Building Breakdown'!$H53*'Building Breakdown'!$I53/168</f>
        <v>0</v>
      </c>
      <c r="AA37" s="178">
        <f>O37*VLOOKUP("Hours",'Model Assumptions'!$B$50:$O$72,6,FALSE)*'Building Breakdown'!$H53*'Building Breakdown'!$I53/168</f>
        <v>0</v>
      </c>
      <c r="AB37" s="178">
        <f>P37*VLOOKUP("Hours",'Model Assumptions'!$B$50:$O$72,7,FALSE)*'Building Breakdown'!$H53*'Building Breakdown'!$I53/168</f>
        <v>0</v>
      </c>
      <c r="AC37" s="178">
        <f>Q37*VLOOKUP("Hours",'Model Assumptions'!$B$50:$O$72,8,FALSE)*'Building Breakdown'!$H53*'Building Breakdown'!$I53/168</f>
        <v>0</v>
      </c>
      <c r="AD37" s="178">
        <f>R37*VLOOKUP("Hours",'Model Assumptions'!$B$50:$O$72,9,FALSE)*'Building Breakdown'!$H53*'Building Breakdown'!$I53/168</f>
        <v>0</v>
      </c>
      <c r="AE37" s="178">
        <f>S37*VLOOKUP("Hours",'Model Assumptions'!$B$50:$O$72,10,FALSE)*'Building Breakdown'!$H53*'Building Breakdown'!$I53/168</f>
        <v>0</v>
      </c>
      <c r="AF37" s="178">
        <f>T37*VLOOKUP("Hours",'Model Assumptions'!$B$50:$O$72,11,FALSE)*'Building Breakdown'!$H53*'Building Breakdown'!$I53/168</f>
        <v>0</v>
      </c>
      <c r="AG37" s="178">
        <f>U37*VLOOKUP("Hours",'Model Assumptions'!$B$50:$O$72,12,FALSE)*'Building Breakdown'!$H53*'Building Breakdown'!$I53/168</f>
        <v>0</v>
      </c>
      <c r="AH37" s="179">
        <f>V37*VLOOKUP("Hours",'Model Assumptions'!$B$50:$O$72,13,FALSE)*'Building Breakdown'!$H53*'Building Breakdown'!$I53/168</f>
        <v>0</v>
      </c>
      <c r="AI37" s="234">
        <f t="shared" si="11"/>
        <v>0</v>
      </c>
      <c r="AJ37" s="234">
        <f>'Building Breakdown'!AW53</f>
        <v>0</v>
      </c>
      <c r="AK37" s="234">
        <f t="shared" si="6"/>
        <v>0</v>
      </c>
      <c r="AL37" s="235">
        <f>IF(EXACT('Fabric Changes'!C37,"Yes"),IF('Building Breakdown'!$D$5="High_Security",(HLOOKUP(G37,'Model Assumptions'!$C$43:$E$45,3,FALSE)*'Building Breakdown'!S53),(HLOOKUP(G37,'Model Assumptions'!$C$43:$E$45,2,FALSE)*'Building Breakdown'!S53)),0)</f>
        <v>0</v>
      </c>
      <c r="AM37" s="236">
        <f>IF(EXACT('Fabric Changes'!D37,"Yes"),IF('Building Breakdown'!$D$5="High_Security",('Model Assumptions'!$G$45*'Building Breakdown'!T53),('Model Assumptions'!$G$44*'Building Breakdown'!T53)),0)</f>
        <v>0</v>
      </c>
      <c r="AN37" s="237">
        <f>IF(EXACT('Fabric Changes'!E37,"Yes"),IF('Building Breakdown'!$D$5="High_Security",(HLOOKUP(F37,'Model Assumptions'!C$43:K$45,3,FALSE)*'Building Breakdown'!U53),(HLOOKUP(F37,'Model Assumptions'!C$43:K$45,2,FALSE)*'Building Breakdown'!U53)),0)</f>
        <v>0</v>
      </c>
      <c r="AO37" s="238">
        <f t="shared" si="12"/>
        <v>0</v>
      </c>
      <c r="AP37" s="238">
        <f>IF('Building Breakdown'!$F53='Fabric Changes'!$AP$6,$AK37*'Building Breakdown'!$D$8,0)</f>
        <v>0</v>
      </c>
      <c r="AQ37" s="285">
        <f t="shared" si="13"/>
        <v>0</v>
      </c>
      <c r="AR37" s="287">
        <f>IF($AP37=0,0,$AK37*VLOOKUP('Building Breakdown'!$E$8,'Emission factors'!$C$4:$D$8,2,FALSE))</f>
        <v>0</v>
      </c>
      <c r="AS37" s="238">
        <f>IF('Building Breakdown'!$F53='Fabric Changes'!$AS$6,$AK37*'Building Breakdown'!$D$9,0)</f>
        <v>0</v>
      </c>
      <c r="AT37" s="285">
        <f t="shared" si="14"/>
        <v>0</v>
      </c>
      <c r="AU37" s="287">
        <f>IF($AS37=0,0,$AK37*VLOOKUP('Building Breakdown'!$E$9,'Emission factors'!$C$4:$D$8,2,FALSE))</f>
        <v>0</v>
      </c>
      <c r="AV37" s="238">
        <f>IF('Building Breakdown'!$F53='Fabric Changes'!$AV$6,$AK37*'Building Breakdown'!$D$10,0)</f>
        <v>0</v>
      </c>
      <c r="AW37" s="285">
        <f t="shared" si="5"/>
        <v>0</v>
      </c>
      <c r="AX37" s="287">
        <f>IF($AV37=0,0,$AK37*VLOOKUP('Building Breakdown'!$E$10,'Emission factors'!$C$4:$D$8,2,FALSE))</f>
        <v>0</v>
      </c>
      <c r="AY37" s="169"/>
    </row>
    <row r="38" spans="2:51" x14ac:dyDescent="0.3">
      <c r="B38" s="226" t="str">
        <f>IF('Building Breakdown'!C54="","",'Building Breakdown'!C54)</f>
        <v/>
      </c>
      <c r="C38" s="106"/>
      <c r="D38" s="106"/>
      <c r="E38" s="106"/>
      <c r="F38" s="106"/>
      <c r="G38" s="106"/>
      <c r="H38" s="177">
        <f>MIN(IF(EXACT('Fabric Changes'!C38,"Yes"),'Model Assumptions'!$B$21,'Building Breakdown'!V54),'Building Breakdown'!V54)</f>
        <v>0</v>
      </c>
      <c r="I38" s="178">
        <f>MIN(IF(EXACT('Fabric Changes'!D38,"Yes"),'Model Assumptions'!$D$21,'Building Breakdown'!W54),'Building Breakdown'!W54)</f>
        <v>0</v>
      </c>
      <c r="J38" s="182">
        <f>MIN(IF(EXACT('Fabric Changes'!E38,"Yes"),'Model Assumptions'!$E$21,'Building Breakdown'!X54),'Building Breakdown'!X54)</f>
        <v>0</v>
      </c>
      <c r="K38" s="177">
        <f>(((('Building Breakdown'!$S54*$H38)+('Building Breakdown'!$T54*$I38)+('Building Breakdown'!$U54*$J38))*('Building Breakdown'!$G54-(VLOOKUP('Building Breakdown'!$D$7,'Model Assumptions'!$B$50:$O$72,2,FALSE))))/1000)*'Building Breakdown'!$E54</f>
        <v>0</v>
      </c>
      <c r="L38" s="178">
        <f>(((('Building Breakdown'!$S54*$H38)+('Building Breakdown'!$T54*$I38)+('Building Breakdown'!$U54*$J38))*('Building Breakdown'!$G54-(VLOOKUP('Building Breakdown'!$D$7,'Model Assumptions'!$B$50:$O$72,3,FALSE))))/1000)*'Building Breakdown'!$E54</f>
        <v>0</v>
      </c>
      <c r="M38" s="178">
        <f>(((('Building Breakdown'!$S54*$H38)+('Building Breakdown'!$T54*$I38)+('Building Breakdown'!$U54*$J38))*('Building Breakdown'!$G54-(VLOOKUP('Building Breakdown'!$D$7,'Model Assumptions'!$B$50:$O$72,4,FALSE))))/1000)*'Building Breakdown'!$E54</f>
        <v>0</v>
      </c>
      <c r="N38" s="178">
        <f>(((('Building Breakdown'!$S54*$H38)+('Building Breakdown'!$T54*$I38)+('Building Breakdown'!$U54*$J38))*('Building Breakdown'!$G54-(VLOOKUP('Building Breakdown'!$D$7,'Model Assumptions'!$B$50:$O$72,5,FALSE))))/1000)*'Building Breakdown'!$E54</f>
        <v>0</v>
      </c>
      <c r="O38" s="178">
        <f>(((('Building Breakdown'!$S54*$H38)+('Building Breakdown'!$T54*$I38)+('Building Breakdown'!$U54*$J38))*('Building Breakdown'!$G54-(VLOOKUP('Building Breakdown'!$D$7,'Model Assumptions'!$B$50:$O$72,6,FALSE))))/1000)*'Building Breakdown'!$E54</f>
        <v>0</v>
      </c>
      <c r="P38" s="178">
        <f>(((('Building Breakdown'!$S54*$H38)+('Building Breakdown'!$T54*$I38)+('Building Breakdown'!$U54*$J38))*('Building Breakdown'!$G54-(VLOOKUP('Building Breakdown'!$D$7,'Model Assumptions'!$B$50:$O$72,7,FALSE))))/1000)*'Building Breakdown'!$E54</f>
        <v>0</v>
      </c>
      <c r="Q38" s="178">
        <f>(((('Building Breakdown'!$S54*$H38)+('Building Breakdown'!$T54*$I38)+('Building Breakdown'!$U54*$J38))*('Building Breakdown'!$G54-(VLOOKUP('Building Breakdown'!$D$7,'Model Assumptions'!$B$50:$O$72,8,FALSE))))/1000)*'Building Breakdown'!$E54</f>
        <v>0</v>
      </c>
      <c r="R38" s="178">
        <f>(((('Building Breakdown'!$S54*$H38)+('Building Breakdown'!$T54*$I38)+('Building Breakdown'!$U54*$J38))*('Building Breakdown'!$G54-(VLOOKUP('Building Breakdown'!$D$7,'Model Assumptions'!$B$50:$O$72,9,FALSE))))/1000)*'Building Breakdown'!$E54</f>
        <v>0</v>
      </c>
      <c r="S38" s="178">
        <f>(((('Building Breakdown'!$S54*$H38)+('Building Breakdown'!$T54*$I38)+('Building Breakdown'!$U54*$J38))*('Building Breakdown'!$G54-(VLOOKUP('Building Breakdown'!$D$7,'Model Assumptions'!$B$50:$O$72,10,FALSE))))/1000)*'Building Breakdown'!$E54</f>
        <v>0</v>
      </c>
      <c r="T38" s="178">
        <f>(((('Building Breakdown'!$S54*$H38)+('Building Breakdown'!$T54*$I38)+('Building Breakdown'!$U54*$J38))*('Building Breakdown'!$G54-(VLOOKUP('Building Breakdown'!$D$7,'Model Assumptions'!$B$50:$O$72,11,FALSE))))/1000)*'Building Breakdown'!$E54</f>
        <v>0</v>
      </c>
      <c r="U38" s="178">
        <f>(((('Building Breakdown'!$S54*$H38)+('Building Breakdown'!$T54*$I38)+('Building Breakdown'!$U54*$J38))*('Building Breakdown'!$G54-(VLOOKUP('Building Breakdown'!$D$7,'Model Assumptions'!$B$50:$O$72,12,FALSE))))/1000)*'Building Breakdown'!$E54</f>
        <v>0</v>
      </c>
      <c r="V38" s="179">
        <f>(((('Building Breakdown'!$S54*$H38)+('Building Breakdown'!$T54*$I38)+('Building Breakdown'!$U54*$J38))*('Building Breakdown'!$G54-(VLOOKUP('Building Breakdown'!$D$7,'Model Assumptions'!$B$50:$O$72,13,FALSE))))/1000)*'Building Breakdown'!$E54</f>
        <v>0</v>
      </c>
      <c r="W38" s="177">
        <f>K38*VLOOKUP("Hours",'Model Assumptions'!$B$50:$O$72,2,FALSE)*'Building Breakdown'!$H54*'Building Breakdown'!$I54/168</f>
        <v>0</v>
      </c>
      <c r="X38" s="178">
        <f>L38*VLOOKUP("Hours",'Model Assumptions'!$B$50:$O$72,3,FALSE)*'Building Breakdown'!$H54*'Building Breakdown'!$I54/168</f>
        <v>0</v>
      </c>
      <c r="Y38" s="178">
        <f>M38*VLOOKUP("Hours",'Model Assumptions'!$B$50:$O$72,4,FALSE)*'Building Breakdown'!$H54*'Building Breakdown'!$I54/168</f>
        <v>0</v>
      </c>
      <c r="Z38" s="178">
        <f>N38*VLOOKUP("Hours",'Model Assumptions'!$B$50:$O$72,5,FALSE)*'Building Breakdown'!$H54*'Building Breakdown'!$I54/168</f>
        <v>0</v>
      </c>
      <c r="AA38" s="178">
        <f>O38*VLOOKUP("Hours",'Model Assumptions'!$B$50:$O$72,6,FALSE)*'Building Breakdown'!$H54*'Building Breakdown'!$I54/168</f>
        <v>0</v>
      </c>
      <c r="AB38" s="178">
        <f>P38*VLOOKUP("Hours",'Model Assumptions'!$B$50:$O$72,7,FALSE)*'Building Breakdown'!$H54*'Building Breakdown'!$I54/168</f>
        <v>0</v>
      </c>
      <c r="AC38" s="178">
        <f>Q38*VLOOKUP("Hours",'Model Assumptions'!$B$50:$O$72,8,FALSE)*'Building Breakdown'!$H54*'Building Breakdown'!$I54/168</f>
        <v>0</v>
      </c>
      <c r="AD38" s="178">
        <f>R38*VLOOKUP("Hours",'Model Assumptions'!$B$50:$O$72,9,FALSE)*'Building Breakdown'!$H54*'Building Breakdown'!$I54/168</f>
        <v>0</v>
      </c>
      <c r="AE38" s="178">
        <f>S38*VLOOKUP("Hours",'Model Assumptions'!$B$50:$O$72,10,FALSE)*'Building Breakdown'!$H54*'Building Breakdown'!$I54/168</f>
        <v>0</v>
      </c>
      <c r="AF38" s="178">
        <f>T38*VLOOKUP("Hours",'Model Assumptions'!$B$50:$O$72,11,FALSE)*'Building Breakdown'!$H54*'Building Breakdown'!$I54/168</f>
        <v>0</v>
      </c>
      <c r="AG38" s="178">
        <f>U38*VLOOKUP("Hours",'Model Assumptions'!$B$50:$O$72,12,FALSE)*'Building Breakdown'!$H54*'Building Breakdown'!$I54/168</f>
        <v>0</v>
      </c>
      <c r="AH38" s="179">
        <f>V38*VLOOKUP("Hours",'Model Assumptions'!$B$50:$O$72,13,FALSE)*'Building Breakdown'!$H54*'Building Breakdown'!$I54/168</f>
        <v>0</v>
      </c>
      <c r="AI38" s="234">
        <f t="shared" si="11"/>
        <v>0</v>
      </c>
      <c r="AJ38" s="234">
        <f>'Building Breakdown'!AW54</f>
        <v>0</v>
      </c>
      <c r="AK38" s="234">
        <f t="shared" si="6"/>
        <v>0</v>
      </c>
      <c r="AL38" s="235">
        <f>IF(EXACT('Fabric Changes'!C38,"Yes"),IF('Building Breakdown'!$D$5="High_Security",(HLOOKUP(G38,'Model Assumptions'!$C$43:$E$45,3,FALSE)*'Building Breakdown'!S54),(HLOOKUP(G38,'Model Assumptions'!$C$43:$E$45,2,FALSE)*'Building Breakdown'!S54)),0)</f>
        <v>0</v>
      </c>
      <c r="AM38" s="236">
        <f>IF(EXACT('Fabric Changes'!D38,"Yes"),IF('Building Breakdown'!$D$5="High_Security",('Model Assumptions'!$G$45*'Building Breakdown'!T54),('Model Assumptions'!$G$44*'Building Breakdown'!T54)),0)</f>
        <v>0</v>
      </c>
      <c r="AN38" s="237">
        <f>IF(EXACT('Fabric Changes'!E38,"Yes"),IF('Building Breakdown'!$D$5="High_Security",(HLOOKUP(F38,'Model Assumptions'!C$43:K$45,3,FALSE)*'Building Breakdown'!U54),(HLOOKUP(F38,'Model Assumptions'!C$43:K$45,2,FALSE)*'Building Breakdown'!U54)),0)</f>
        <v>0</v>
      </c>
      <c r="AO38" s="238">
        <f t="shared" si="12"/>
        <v>0</v>
      </c>
      <c r="AP38" s="238">
        <f>IF('Building Breakdown'!$F54='Fabric Changes'!$AP$6,$AK38*'Building Breakdown'!$D$8,0)</f>
        <v>0</v>
      </c>
      <c r="AQ38" s="285">
        <f t="shared" si="13"/>
        <v>0</v>
      </c>
      <c r="AR38" s="287">
        <f>IF($AP38=0,0,$AK38*VLOOKUP('Building Breakdown'!$E$8,'Emission factors'!$C$4:$D$8,2,FALSE))</f>
        <v>0</v>
      </c>
      <c r="AS38" s="238">
        <f>IF('Building Breakdown'!$F54='Fabric Changes'!$AS$6,$AK38*'Building Breakdown'!$D$9,0)</f>
        <v>0</v>
      </c>
      <c r="AT38" s="285">
        <f t="shared" si="14"/>
        <v>0</v>
      </c>
      <c r="AU38" s="287">
        <f>IF($AS38=0,0,$AK38*VLOOKUP('Building Breakdown'!$E$9,'Emission factors'!$C$4:$D$8,2,FALSE))</f>
        <v>0</v>
      </c>
      <c r="AV38" s="238">
        <f>IF('Building Breakdown'!$F54='Fabric Changes'!$AV$6,$AK38*'Building Breakdown'!$D$10,0)</f>
        <v>0</v>
      </c>
      <c r="AW38" s="285">
        <f t="shared" si="5"/>
        <v>0</v>
      </c>
      <c r="AX38" s="287">
        <f>IF($AV38=0,0,$AK38*VLOOKUP('Building Breakdown'!$E$10,'Emission factors'!$C$4:$D$8,2,FALSE))</f>
        <v>0</v>
      </c>
      <c r="AY38" s="169"/>
    </row>
    <row r="39" spans="2:51" x14ac:dyDescent="0.3">
      <c r="B39" s="226" t="str">
        <f>IF('Building Breakdown'!C55="","",'Building Breakdown'!C55)</f>
        <v/>
      </c>
      <c r="C39" s="106"/>
      <c r="D39" s="106"/>
      <c r="E39" s="106"/>
      <c r="F39" s="106"/>
      <c r="G39" s="106"/>
      <c r="H39" s="177">
        <f>MIN(IF(EXACT('Fabric Changes'!C39,"Yes"),'Model Assumptions'!$B$21,'Building Breakdown'!V55),'Building Breakdown'!V55)</f>
        <v>0</v>
      </c>
      <c r="I39" s="178">
        <f>MIN(IF(EXACT('Fabric Changes'!D39,"Yes"),'Model Assumptions'!$D$21,'Building Breakdown'!W55),'Building Breakdown'!W55)</f>
        <v>0</v>
      </c>
      <c r="J39" s="182">
        <f>MIN(IF(EXACT('Fabric Changes'!E39,"Yes"),'Model Assumptions'!$E$21,'Building Breakdown'!X55),'Building Breakdown'!X55)</f>
        <v>0</v>
      </c>
      <c r="K39" s="177">
        <f>(((('Building Breakdown'!$S55*$H39)+('Building Breakdown'!$T55*$I39)+('Building Breakdown'!$U55*$J39))*('Building Breakdown'!$G55-(VLOOKUP('Building Breakdown'!$D$7,'Model Assumptions'!$B$50:$O$72,2,FALSE))))/1000)*'Building Breakdown'!$E55</f>
        <v>0</v>
      </c>
      <c r="L39" s="178">
        <f>(((('Building Breakdown'!$S55*$H39)+('Building Breakdown'!$T55*$I39)+('Building Breakdown'!$U55*$J39))*('Building Breakdown'!$G55-(VLOOKUP('Building Breakdown'!$D$7,'Model Assumptions'!$B$50:$O$72,3,FALSE))))/1000)*'Building Breakdown'!$E55</f>
        <v>0</v>
      </c>
      <c r="M39" s="178">
        <f>(((('Building Breakdown'!$S55*$H39)+('Building Breakdown'!$T55*$I39)+('Building Breakdown'!$U55*$J39))*('Building Breakdown'!$G55-(VLOOKUP('Building Breakdown'!$D$7,'Model Assumptions'!$B$50:$O$72,4,FALSE))))/1000)*'Building Breakdown'!$E55</f>
        <v>0</v>
      </c>
      <c r="N39" s="178">
        <f>(((('Building Breakdown'!$S55*$H39)+('Building Breakdown'!$T55*$I39)+('Building Breakdown'!$U55*$J39))*('Building Breakdown'!$G55-(VLOOKUP('Building Breakdown'!$D$7,'Model Assumptions'!$B$50:$O$72,5,FALSE))))/1000)*'Building Breakdown'!$E55</f>
        <v>0</v>
      </c>
      <c r="O39" s="178">
        <f>(((('Building Breakdown'!$S55*$H39)+('Building Breakdown'!$T55*$I39)+('Building Breakdown'!$U55*$J39))*('Building Breakdown'!$G55-(VLOOKUP('Building Breakdown'!$D$7,'Model Assumptions'!$B$50:$O$72,6,FALSE))))/1000)*'Building Breakdown'!$E55</f>
        <v>0</v>
      </c>
      <c r="P39" s="178">
        <f>(((('Building Breakdown'!$S55*$H39)+('Building Breakdown'!$T55*$I39)+('Building Breakdown'!$U55*$J39))*('Building Breakdown'!$G55-(VLOOKUP('Building Breakdown'!$D$7,'Model Assumptions'!$B$50:$O$72,7,FALSE))))/1000)*'Building Breakdown'!$E55</f>
        <v>0</v>
      </c>
      <c r="Q39" s="178">
        <f>(((('Building Breakdown'!$S55*$H39)+('Building Breakdown'!$T55*$I39)+('Building Breakdown'!$U55*$J39))*('Building Breakdown'!$G55-(VLOOKUP('Building Breakdown'!$D$7,'Model Assumptions'!$B$50:$O$72,8,FALSE))))/1000)*'Building Breakdown'!$E55</f>
        <v>0</v>
      </c>
      <c r="R39" s="178">
        <f>(((('Building Breakdown'!$S55*$H39)+('Building Breakdown'!$T55*$I39)+('Building Breakdown'!$U55*$J39))*('Building Breakdown'!$G55-(VLOOKUP('Building Breakdown'!$D$7,'Model Assumptions'!$B$50:$O$72,9,FALSE))))/1000)*'Building Breakdown'!$E55</f>
        <v>0</v>
      </c>
      <c r="S39" s="178">
        <f>(((('Building Breakdown'!$S55*$H39)+('Building Breakdown'!$T55*$I39)+('Building Breakdown'!$U55*$J39))*('Building Breakdown'!$G55-(VLOOKUP('Building Breakdown'!$D$7,'Model Assumptions'!$B$50:$O$72,10,FALSE))))/1000)*'Building Breakdown'!$E55</f>
        <v>0</v>
      </c>
      <c r="T39" s="178">
        <f>(((('Building Breakdown'!$S55*$H39)+('Building Breakdown'!$T55*$I39)+('Building Breakdown'!$U55*$J39))*('Building Breakdown'!$G55-(VLOOKUP('Building Breakdown'!$D$7,'Model Assumptions'!$B$50:$O$72,11,FALSE))))/1000)*'Building Breakdown'!$E55</f>
        <v>0</v>
      </c>
      <c r="U39" s="178">
        <f>(((('Building Breakdown'!$S55*$H39)+('Building Breakdown'!$T55*$I39)+('Building Breakdown'!$U55*$J39))*('Building Breakdown'!$G55-(VLOOKUP('Building Breakdown'!$D$7,'Model Assumptions'!$B$50:$O$72,12,FALSE))))/1000)*'Building Breakdown'!$E55</f>
        <v>0</v>
      </c>
      <c r="V39" s="179">
        <f>(((('Building Breakdown'!$S55*$H39)+('Building Breakdown'!$T55*$I39)+('Building Breakdown'!$U55*$J39))*('Building Breakdown'!$G55-(VLOOKUP('Building Breakdown'!$D$7,'Model Assumptions'!$B$50:$O$72,13,FALSE))))/1000)*'Building Breakdown'!$E55</f>
        <v>0</v>
      </c>
      <c r="W39" s="177">
        <f>K39*VLOOKUP("Hours",'Model Assumptions'!$B$50:$O$72,2,FALSE)*'Building Breakdown'!$H55*'Building Breakdown'!$I55/168</f>
        <v>0</v>
      </c>
      <c r="X39" s="178">
        <f>L39*VLOOKUP("Hours",'Model Assumptions'!$B$50:$O$72,3,FALSE)*'Building Breakdown'!$H55*'Building Breakdown'!$I55/168</f>
        <v>0</v>
      </c>
      <c r="Y39" s="178">
        <f>M39*VLOOKUP("Hours",'Model Assumptions'!$B$50:$O$72,4,FALSE)*'Building Breakdown'!$H55*'Building Breakdown'!$I55/168</f>
        <v>0</v>
      </c>
      <c r="Z39" s="178">
        <f>N39*VLOOKUP("Hours",'Model Assumptions'!$B$50:$O$72,5,FALSE)*'Building Breakdown'!$H55*'Building Breakdown'!$I55/168</f>
        <v>0</v>
      </c>
      <c r="AA39" s="178">
        <f>O39*VLOOKUP("Hours",'Model Assumptions'!$B$50:$O$72,6,FALSE)*'Building Breakdown'!$H55*'Building Breakdown'!$I55/168</f>
        <v>0</v>
      </c>
      <c r="AB39" s="178">
        <f>P39*VLOOKUP("Hours",'Model Assumptions'!$B$50:$O$72,7,FALSE)*'Building Breakdown'!$H55*'Building Breakdown'!$I55/168</f>
        <v>0</v>
      </c>
      <c r="AC39" s="178">
        <f>Q39*VLOOKUP("Hours",'Model Assumptions'!$B$50:$O$72,8,FALSE)*'Building Breakdown'!$H55*'Building Breakdown'!$I55/168</f>
        <v>0</v>
      </c>
      <c r="AD39" s="178">
        <f>R39*VLOOKUP("Hours",'Model Assumptions'!$B$50:$O$72,9,FALSE)*'Building Breakdown'!$H55*'Building Breakdown'!$I55/168</f>
        <v>0</v>
      </c>
      <c r="AE39" s="178">
        <f>S39*VLOOKUP("Hours",'Model Assumptions'!$B$50:$O$72,10,FALSE)*'Building Breakdown'!$H55*'Building Breakdown'!$I55/168</f>
        <v>0</v>
      </c>
      <c r="AF39" s="178">
        <f>T39*VLOOKUP("Hours",'Model Assumptions'!$B$50:$O$72,11,FALSE)*'Building Breakdown'!$H55*'Building Breakdown'!$I55/168</f>
        <v>0</v>
      </c>
      <c r="AG39" s="178">
        <f>U39*VLOOKUP("Hours",'Model Assumptions'!$B$50:$O$72,12,FALSE)*'Building Breakdown'!$H55*'Building Breakdown'!$I55/168</f>
        <v>0</v>
      </c>
      <c r="AH39" s="179">
        <f>V39*VLOOKUP("Hours",'Model Assumptions'!$B$50:$O$72,13,FALSE)*'Building Breakdown'!$H55*'Building Breakdown'!$I55/168</f>
        <v>0</v>
      </c>
      <c r="AI39" s="234">
        <f t="shared" si="7"/>
        <v>0</v>
      </c>
      <c r="AJ39" s="234">
        <f>'Building Breakdown'!AW55</f>
        <v>0</v>
      </c>
      <c r="AK39" s="234">
        <f t="shared" si="6"/>
        <v>0</v>
      </c>
      <c r="AL39" s="235">
        <f>IF(EXACT('Fabric Changes'!C39,"Yes"),IF('Building Breakdown'!$D$5="High_Security",(HLOOKUP(G39,'Model Assumptions'!$C$43:$E$45,3,FALSE)*'Building Breakdown'!S55),(HLOOKUP(G39,'Model Assumptions'!$C$43:$E$45,2,FALSE)*'Building Breakdown'!S55)),0)</f>
        <v>0</v>
      </c>
      <c r="AM39" s="236">
        <f>IF(EXACT('Fabric Changes'!D39,"Yes"),IF('Building Breakdown'!$D$5="High_Security",('Model Assumptions'!$G$45*'Building Breakdown'!T55),('Model Assumptions'!$G$44*'Building Breakdown'!T55)),0)</f>
        <v>0</v>
      </c>
      <c r="AN39" s="237">
        <f>IF(EXACT('Fabric Changes'!E39,"Yes"),IF('Building Breakdown'!$D$5="High_Security",(HLOOKUP(F39,'Model Assumptions'!C$43:K$45,3,FALSE)*'Building Breakdown'!U55),(HLOOKUP(F39,'Model Assumptions'!C$43:K$45,2,FALSE)*'Building Breakdown'!U55)),0)</f>
        <v>0</v>
      </c>
      <c r="AO39" s="238">
        <f t="shared" si="8"/>
        <v>0</v>
      </c>
      <c r="AP39" s="238">
        <f>IF('Building Breakdown'!$F55='Fabric Changes'!$AP$6,$AK39*'Building Breakdown'!$D$8,0)</f>
        <v>0</v>
      </c>
      <c r="AQ39" s="285">
        <f t="shared" si="9"/>
        <v>0</v>
      </c>
      <c r="AR39" s="287">
        <f>IF($AP39=0,0,$AK39*VLOOKUP('Building Breakdown'!$E$8,'Emission factors'!$C$4:$D$8,2,FALSE))</f>
        <v>0</v>
      </c>
      <c r="AS39" s="238">
        <f>IF('Building Breakdown'!$F55='Fabric Changes'!$AS$6,$AK39*'Building Breakdown'!$D$9,0)</f>
        <v>0</v>
      </c>
      <c r="AT39" s="285">
        <f t="shared" si="10"/>
        <v>0</v>
      </c>
      <c r="AU39" s="287">
        <f>IF($AS39=0,0,$AK39*VLOOKUP('Building Breakdown'!$E$9,'Emission factors'!$C$4:$D$8,2,FALSE))</f>
        <v>0</v>
      </c>
      <c r="AV39" s="238">
        <f>IF('Building Breakdown'!$F55='Fabric Changes'!$AV$6,$AK39*'Building Breakdown'!$D$10,0)</f>
        <v>0</v>
      </c>
      <c r="AW39" s="285">
        <f t="shared" si="5"/>
        <v>0</v>
      </c>
      <c r="AX39" s="287">
        <f>IF($AV39=0,0,$AK39*VLOOKUP('Building Breakdown'!$E$10,'Emission factors'!$C$4:$D$8,2,FALSE))</f>
        <v>0</v>
      </c>
      <c r="AY39" s="169"/>
    </row>
    <row r="40" spans="2:51" x14ac:dyDescent="0.3">
      <c r="B40" s="226" t="str">
        <f>IF('Building Breakdown'!C56="","",'Building Breakdown'!C56)</f>
        <v/>
      </c>
      <c r="C40" s="106"/>
      <c r="D40" s="106"/>
      <c r="E40" s="106"/>
      <c r="F40" s="106"/>
      <c r="G40" s="106"/>
      <c r="H40" s="177">
        <f>MIN(IF(EXACT('Fabric Changes'!C40,"Yes"),'Model Assumptions'!$B$21,'Building Breakdown'!V56),'Building Breakdown'!V56)</f>
        <v>0</v>
      </c>
      <c r="I40" s="178">
        <f>MIN(IF(EXACT('Fabric Changes'!D40,"Yes"),'Model Assumptions'!$D$21,'Building Breakdown'!W56),'Building Breakdown'!W56)</f>
        <v>0</v>
      </c>
      <c r="J40" s="182">
        <f>MIN(IF(EXACT('Fabric Changes'!E40,"Yes"),'Model Assumptions'!$E$21,'Building Breakdown'!X56),'Building Breakdown'!X56)</f>
        <v>0</v>
      </c>
      <c r="K40" s="177">
        <f>(((('Building Breakdown'!$S56*$H40)+('Building Breakdown'!$T56*$I40)+('Building Breakdown'!$U56*$J40))*('Building Breakdown'!$G56-(VLOOKUP('Building Breakdown'!$D$7,'Model Assumptions'!$B$50:$O$72,2,FALSE))))/1000)*'Building Breakdown'!$E56</f>
        <v>0</v>
      </c>
      <c r="L40" s="178">
        <f>(((('Building Breakdown'!$S56*$H40)+('Building Breakdown'!$T56*$I40)+('Building Breakdown'!$U56*$J40))*('Building Breakdown'!$G56-(VLOOKUP('Building Breakdown'!$D$7,'Model Assumptions'!$B$50:$O$72,3,FALSE))))/1000)*'Building Breakdown'!$E56</f>
        <v>0</v>
      </c>
      <c r="M40" s="178">
        <f>(((('Building Breakdown'!$S56*$H40)+('Building Breakdown'!$T56*$I40)+('Building Breakdown'!$U56*$J40))*('Building Breakdown'!$G56-(VLOOKUP('Building Breakdown'!$D$7,'Model Assumptions'!$B$50:$O$72,4,FALSE))))/1000)*'Building Breakdown'!$E56</f>
        <v>0</v>
      </c>
      <c r="N40" s="178">
        <f>(((('Building Breakdown'!$S56*$H40)+('Building Breakdown'!$T56*$I40)+('Building Breakdown'!$U56*$J40))*('Building Breakdown'!$G56-(VLOOKUP('Building Breakdown'!$D$7,'Model Assumptions'!$B$50:$O$72,5,FALSE))))/1000)*'Building Breakdown'!$E56</f>
        <v>0</v>
      </c>
      <c r="O40" s="178">
        <f>(((('Building Breakdown'!$S56*$H40)+('Building Breakdown'!$T56*$I40)+('Building Breakdown'!$U56*$J40))*('Building Breakdown'!$G56-(VLOOKUP('Building Breakdown'!$D$7,'Model Assumptions'!$B$50:$O$72,6,FALSE))))/1000)*'Building Breakdown'!$E56</f>
        <v>0</v>
      </c>
      <c r="P40" s="178">
        <f>(((('Building Breakdown'!$S56*$H40)+('Building Breakdown'!$T56*$I40)+('Building Breakdown'!$U56*$J40))*('Building Breakdown'!$G56-(VLOOKUP('Building Breakdown'!$D$7,'Model Assumptions'!$B$50:$O$72,7,FALSE))))/1000)*'Building Breakdown'!$E56</f>
        <v>0</v>
      </c>
      <c r="Q40" s="178">
        <f>(((('Building Breakdown'!$S56*$H40)+('Building Breakdown'!$T56*$I40)+('Building Breakdown'!$U56*$J40))*('Building Breakdown'!$G56-(VLOOKUP('Building Breakdown'!$D$7,'Model Assumptions'!$B$50:$O$72,8,FALSE))))/1000)*'Building Breakdown'!$E56</f>
        <v>0</v>
      </c>
      <c r="R40" s="178">
        <f>(((('Building Breakdown'!$S56*$H40)+('Building Breakdown'!$T56*$I40)+('Building Breakdown'!$U56*$J40))*('Building Breakdown'!$G56-(VLOOKUP('Building Breakdown'!$D$7,'Model Assumptions'!$B$50:$O$72,9,FALSE))))/1000)*'Building Breakdown'!$E56</f>
        <v>0</v>
      </c>
      <c r="S40" s="178">
        <f>(((('Building Breakdown'!$S56*$H40)+('Building Breakdown'!$T56*$I40)+('Building Breakdown'!$U56*$J40))*('Building Breakdown'!$G56-(VLOOKUP('Building Breakdown'!$D$7,'Model Assumptions'!$B$50:$O$72,10,FALSE))))/1000)*'Building Breakdown'!$E56</f>
        <v>0</v>
      </c>
      <c r="T40" s="178">
        <f>(((('Building Breakdown'!$S56*$H40)+('Building Breakdown'!$T56*$I40)+('Building Breakdown'!$U56*$J40))*('Building Breakdown'!$G56-(VLOOKUP('Building Breakdown'!$D$7,'Model Assumptions'!$B$50:$O$72,11,FALSE))))/1000)*'Building Breakdown'!$E56</f>
        <v>0</v>
      </c>
      <c r="U40" s="178">
        <f>(((('Building Breakdown'!$S56*$H40)+('Building Breakdown'!$T56*$I40)+('Building Breakdown'!$U56*$J40))*('Building Breakdown'!$G56-(VLOOKUP('Building Breakdown'!$D$7,'Model Assumptions'!$B$50:$O$72,12,FALSE))))/1000)*'Building Breakdown'!$E56</f>
        <v>0</v>
      </c>
      <c r="V40" s="179">
        <f>(((('Building Breakdown'!$S56*$H40)+('Building Breakdown'!$T56*$I40)+('Building Breakdown'!$U56*$J40))*('Building Breakdown'!$G56-(VLOOKUP('Building Breakdown'!$D$7,'Model Assumptions'!$B$50:$O$72,13,FALSE))))/1000)*'Building Breakdown'!$E56</f>
        <v>0</v>
      </c>
      <c r="W40" s="177">
        <f>K40*VLOOKUP("Hours",'Model Assumptions'!$B$50:$O$72,2,FALSE)*'Building Breakdown'!$H56*'Building Breakdown'!$I56/168</f>
        <v>0</v>
      </c>
      <c r="X40" s="178">
        <f>L40*VLOOKUP("Hours",'Model Assumptions'!$B$50:$O$72,3,FALSE)*'Building Breakdown'!$H56*'Building Breakdown'!$I56/168</f>
        <v>0</v>
      </c>
      <c r="Y40" s="178">
        <f>M40*VLOOKUP("Hours",'Model Assumptions'!$B$50:$O$72,4,FALSE)*'Building Breakdown'!$H56*'Building Breakdown'!$I56/168</f>
        <v>0</v>
      </c>
      <c r="Z40" s="178">
        <f>N40*VLOOKUP("Hours",'Model Assumptions'!$B$50:$O$72,5,FALSE)*'Building Breakdown'!$H56*'Building Breakdown'!$I56/168</f>
        <v>0</v>
      </c>
      <c r="AA40" s="178">
        <f>O40*VLOOKUP("Hours",'Model Assumptions'!$B$50:$O$72,6,FALSE)*'Building Breakdown'!$H56*'Building Breakdown'!$I56/168</f>
        <v>0</v>
      </c>
      <c r="AB40" s="178">
        <f>P40*VLOOKUP("Hours",'Model Assumptions'!$B$50:$O$72,7,FALSE)*'Building Breakdown'!$H56*'Building Breakdown'!$I56/168</f>
        <v>0</v>
      </c>
      <c r="AC40" s="178">
        <f>Q40*VLOOKUP("Hours",'Model Assumptions'!$B$50:$O$72,8,FALSE)*'Building Breakdown'!$H56*'Building Breakdown'!$I56/168</f>
        <v>0</v>
      </c>
      <c r="AD40" s="178">
        <f>R40*VLOOKUP("Hours",'Model Assumptions'!$B$50:$O$72,9,FALSE)*'Building Breakdown'!$H56*'Building Breakdown'!$I56/168</f>
        <v>0</v>
      </c>
      <c r="AE40" s="178">
        <f>S40*VLOOKUP("Hours",'Model Assumptions'!$B$50:$O$72,10,FALSE)*'Building Breakdown'!$H56*'Building Breakdown'!$I56/168</f>
        <v>0</v>
      </c>
      <c r="AF40" s="178">
        <f>T40*VLOOKUP("Hours",'Model Assumptions'!$B$50:$O$72,11,FALSE)*'Building Breakdown'!$H56*'Building Breakdown'!$I56/168</f>
        <v>0</v>
      </c>
      <c r="AG40" s="178">
        <f>U40*VLOOKUP("Hours",'Model Assumptions'!$B$50:$O$72,12,FALSE)*'Building Breakdown'!$H56*'Building Breakdown'!$I56/168</f>
        <v>0</v>
      </c>
      <c r="AH40" s="179">
        <f>V40*VLOOKUP("Hours",'Model Assumptions'!$B$50:$O$72,13,FALSE)*'Building Breakdown'!$H56*'Building Breakdown'!$I56/168</f>
        <v>0</v>
      </c>
      <c r="AI40" s="234">
        <f t="shared" si="7"/>
        <v>0</v>
      </c>
      <c r="AJ40" s="234">
        <f>'Building Breakdown'!AW56</f>
        <v>0</v>
      </c>
      <c r="AK40" s="234">
        <f t="shared" si="6"/>
        <v>0</v>
      </c>
      <c r="AL40" s="235">
        <f>IF(EXACT('Fabric Changes'!C40,"Yes"),IF('Building Breakdown'!$D$5="High_Security",(HLOOKUP(G40,'Model Assumptions'!$C$43:$E$45,3,FALSE)*'Building Breakdown'!S56),(HLOOKUP(G40,'Model Assumptions'!$C$43:$E$45,2,FALSE)*'Building Breakdown'!S56)),0)</f>
        <v>0</v>
      </c>
      <c r="AM40" s="236">
        <f>IF(EXACT('Fabric Changes'!D40,"Yes"),IF('Building Breakdown'!$D$5="High_Security",('Model Assumptions'!$G$45*'Building Breakdown'!T56),('Model Assumptions'!$G$44*'Building Breakdown'!T56)),0)</f>
        <v>0</v>
      </c>
      <c r="AN40" s="237">
        <f>IF(EXACT('Fabric Changes'!E40,"Yes"),IF('Building Breakdown'!$D$5="High_Security",(HLOOKUP(F40,'Model Assumptions'!C$43:K$45,3,FALSE)*'Building Breakdown'!U56),(HLOOKUP(F40,'Model Assumptions'!C$43:K$45,2,FALSE)*'Building Breakdown'!U56)),0)</f>
        <v>0</v>
      </c>
      <c r="AO40" s="238">
        <f t="shared" si="8"/>
        <v>0</v>
      </c>
      <c r="AP40" s="238">
        <f>IF('Building Breakdown'!$F56='Fabric Changes'!$AP$6,$AK40*'Building Breakdown'!$D$8,0)</f>
        <v>0</v>
      </c>
      <c r="AQ40" s="285">
        <f t="shared" si="9"/>
        <v>0</v>
      </c>
      <c r="AR40" s="287">
        <f>IF($AP40=0,0,$AK40*VLOOKUP('Building Breakdown'!$E$8,'Emission factors'!$C$4:$D$8,2,FALSE))</f>
        <v>0</v>
      </c>
      <c r="AS40" s="238">
        <f>IF('Building Breakdown'!$F56='Fabric Changes'!$AS$6,$AK40*'Building Breakdown'!$D$9,0)</f>
        <v>0</v>
      </c>
      <c r="AT40" s="285">
        <f t="shared" si="10"/>
        <v>0</v>
      </c>
      <c r="AU40" s="287">
        <f>IF($AS40=0,0,$AK40*VLOOKUP('Building Breakdown'!$E$9,'Emission factors'!$C$4:$D$8,2,FALSE))</f>
        <v>0</v>
      </c>
      <c r="AV40" s="238">
        <f>IF('Building Breakdown'!$F56='Fabric Changes'!$AV$6,$AK40*'Building Breakdown'!$D$10,0)</f>
        <v>0</v>
      </c>
      <c r="AW40" s="285">
        <f t="shared" si="5"/>
        <v>0</v>
      </c>
      <c r="AX40" s="287">
        <f>IF($AV40=0,0,$AK40*VLOOKUP('Building Breakdown'!$E$10,'Emission factors'!$C$4:$D$8,2,FALSE))</f>
        <v>0</v>
      </c>
      <c r="AY40" s="169"/>
    </row>
    <row r="41" spans="2:51" x14ac:dyDescent="0.3">
      <c r="B41" s="226" t="str">
        <f>IF('Building Breakdown'!C57="","",'Building Breakdown'!C57)</f>
        <v/>
      </c>
      <c r="C41" s="106"/>
      <c r="D41" s="106"/>
      <c r="E41" s="106"/>
      <c r="F41" s="106"/>
      <c r="G41" s="106"/>
      <c r="H41" s="177">
        <f>MIN(IF(EXACT('Fabric Changes'!C41,"Yes"),'Model Assumptions'!$B$21,'Building Breakdown'!V57),'Building Breakdown'!V57)</f>
        <v>0</v>
      </c>
      <c r="I41" s="178">
        <f>MIN(IF(EXACT('Fabric Changes'!D41,"Yes"),'Model Assumptions'!$D$21,'Building Breakdown'!W57),'Building Breakdown'!W57)</f>
        <v>0</v>
      </c>
      <c r="J41" s="182">
        <f>MIN(IF(EXACT('Fabric Changes'!E41,"Yes"),'Model Assumptions'!$E$21,'Building Breakdown'!X57),'Building Breakdown'!X57)</f>
        <v>0</v>
      </c>
      <c r="K41" s="177">
        <f>(((('Building Breakdown'!$S57*$H41)+('Building Breakdown'!$T57*$I41)+('Building Breakdown'!$U57*$J41))*('Building Breakdown'!$G57-(VLOOKUP('Building Breakdown'!$D$7,'Model Assumptions'!$B$50:$O$72,2,FALSE))))/1000)*'Building Breakdown'!$E57</f>
        <v>0</v>
      </c>
      <c r="L41" s="178">
        <f>(((('Building Breakdown'!$S57*$H41)+('Building Breakdown'!$T57*$I41)+('Building Breakdown'!$U57*$J41))*('Building Breakdown'!$G57-(VLOOKUP('Building Breakdown'!$D$7,'Model Assumptions'!$B$50:$O$72,3,FALSE))))/1000)*'Building Breakdown'!$E57</f>
        <v>0</v>
      </c>
      <c r="M41" s="178">
        <f>(((('Building Breakdown'!$S57*$H41)+('Building Breakdown'!$T57*$I41)+('Building Breakdown'!$U57*$J41))*('Building Breakdown'!$G57-(VLOOKUP('Building Breakdown'!$D$7,'Model Assumptions'!$B$50:$O$72,4,FALSE))))/1000)*'Building Breakdown'!$E57</f>
        <v>0</v>
      </c>
      <c r="N41" s="178">
        <f>(((('Building Breakdown'!$S57*$H41)+('Building Breakdown'!$T57*$I41)+('Building Breakdown'!$U57*$J41))*('Building Breakdown'!$G57-(VLOOKUP('Building Breakdown'!$D$7,'Model Assumptions'!$B$50:$O$72,5,FALSE))))/1000)*'Building Breakdown'!$E57</f>
        <v>0</v>
      </c>
      <c r="O41" s="178">
        <f>(((('Building Breakdown'!$S57*$H41)+('Building Breakdown'!$T57*$I41)+('Building Breakdown'!$U57*$J41))*('Building Breakdown'!$G57-(VLOOKUP('Building Breakdown'!$D$7,'Model Assumptions'!$B$50:$O$72,6,FALSE))))/1000)*'Building Breakdown'!$E57</f>
        <v>0</v>
      </c>
      <c r="P41" s="178">
        <f>(((('Building Breakdown'!$S57*$H41)+('Building Breakdown'!$T57*$I41)+('Building Breakdown'!$U57*$J41))*('Building Breakdown'!$G57-(VLOOKUP('Building Breakdown'!$D$7,'Model Assumptions'!$B$50:$O$72,7,FALSE))))/1000)*'Building Breakdown'!$E57</f>
        <v>0</v>
      </c>
      <c r="Q41" s="178">
        <f>(((('Building Breakdown'!$S57*$H41)+('Building Breakdown'!$T57*$I41)+('Building Breakdown'!$U57*$J41))*('Building Breakdown'!$G57-(VLOOKUP('Building Breakdown'!$D$7,'Model Assumptions'!$B$50:$O$72,8,FALSE))))/1000)*'Building Breakdown'!$E57</f>
        <v>0</v>
      </c>
      <c r="R41" s="178">
        <f>(((('Building Breakdown'!$S57*$H41)+('Building Breakdown'!$T57*$I41)+('Building Breakdown'!$U57*$J41))*('Building Breakdown'!$G57-(VLOOKUP('Building Breakdown'!$D$7,'Model Assumptions'!$B$50:$O$72,9,FALSE))))/1000)*'Building Breakdown'!$E57</f>
        <v>0</v>
      </c>
      <c r="S41" s="178">
        <f>(((('Building Breakdown'!$S57*$H41)+('Building Breakdown'!$T57*$I41)+('Building Breakdown'!$U57*$J41))*('Building Breakdown'!$G57-(VLOOKUP('Building Breakdown'!$D$7,'Model Assumptions'!$B$50:$O$72,10,FALSE))))/1000)*'Building Breakdown'!$E57</f>
        <v>0</v>
      </c>
      <c r="T41" s="178">
        <f>(((('Building Breakdown'!$S57*$H41)+('Building Breakdown'!$T57*$I41)+('Building Breakdown'!$U57*$J41))*('Building Breakdown'!$G57-(VLOOKUP('Building Breakdown'!$D$7,'Model Assumptions'!$B$50:$O$72,11,FALSE))))/1000)*'Building Breakdown'!$E57</f>
        <v>0</v>
      </c>
      <c r="U41" s="178">
        <f>(((('Building Breakdown'!$S57*$H41)+('Building Breakdown'!$T57*$I41)+('Building Breakdown'!$U57*$J41))*('Building Breakdown'!$G57-(VLOOKUP('Building Breakdown'!$D$7,'Model Assumptions'!$B$50:$O$72,12,FALSE))))/1000)*'Building Breakdown'!$E57</f>
        <v>0</v>
      </c>
      <c r="V41" s="179">
        <f>(((('Building Breakdown'!$S57*$H41)+('Building Breakdown'!$T57*$I41)+('Building Breakdown'!$U57*$J41))*('Building Breakdown'!$G57-(VLOOKUP('Building Breakdown'!$D$7,'Model Assumptions'!$B$50:$O$72,13,FALSE))))/1000)*'Building Breakdown'!$E57</f>
        <v>0</v>
      </c>
      <c r="W41" s="177">
        <f>K41*VLOOKUP("Hours",'Model Assumptions'!$B$50:$O$72,2,FALSE)*'Building Breakdown'!$H57*'Building Breakdown'!$I57/168</f>
        <v>0</v>
      </c>
      <c r="X41" s="178">
        <f>L41*VLOOKUP("Hours",'Model Assumptions'!$B$50:$O$72,3,FALSE)*'Building Breakdown'!$H57*'Building Breakdown'!$I57/168</f>
        <v>0</v>
      </c>
      <c r="Y41" s="178">
        <f>M41*VLOOKUP("Hours",'Model Assumptions'!$B$50:$O$72,4,FALSE)*'Building Breakdown'!$H57*'Building Breakdown'!$I57/168</f>
        <v>0</v>
      </c>
      <c r="Z41" s="178">
        <f>N41*VLOOKUP("Hours",'Model Assumptions'!$B$50:$O$72,5,FALSE)*'Building Breakdown'!$H57*'Building Breakdown'!$I57/168</f>
        <v>0</v>
      </c>
      <c r="AA41" s="178">
        <f>O41*VLOOKUP("Hours",'Model Assumptions'!$B$50:$O$72,6,FALSE)*'Building Breakdown'!$H57*'Building Breakdown'!$I57/168</f>
        <v>0</v>
      </c>
      <c r="AB41" s="178">
        <f>P41*VLOOKUP("Hours",'Model Assumptions'!$B$50:$O$72,7,FALSE)*'Building Breakdown'!$H57*'Building Breakdown'!$I57/168</f>
        <v>0</v>
      </c>
      <c r="AC41" s="178">
        <f>Q41*VLOOKUP("Hours",'Model Assumptions'!$B$50:$O$72,8,FALSE)*'Building Breakdown'!$H57*'Building Breakdown'!$I57/168</f>
        <v>0</v>
      </c>
      <c r="AD41" s="178">
        <f>R41*VLOOKUP("Hours",'Model Assumptions'!$B$50:$O$72,9,FALSE)*'Building Breakdown'!$H57*'Building Breakdown'!$I57/168</f>
        <v>0</v>
      </c>
      <c r="AE41" s="178">
        <f>S41*VLOOKUP("Hours",'Model Assumptions'!$B$50:$O$72,10,FALSE)*'Building Breakdown'!$H57*'Building Breakdown'!$I57/168</f>
        <v>0</v>
      </c>
      <c r="AF41" s="178">
        <f>T41*VLOOKUP("Hours",'Model Assumptions'!$B$50:$O$72,11,FALSE)*'Building Breakdown'!$H57*'Building Breakdown'!$I57/168</f>
        <v>0</v>
      </c>
      <c r="AG41" s="178">
        <f>U41*VLOOKUP("Hours",'Model Assumptions'!$B$50:$O$72,12,FALSE)*'Building Breakdown'!$H57*'Building Breakdown'!$I57/168</f>
        <v>0</v>
      </c>
      <c r="AH41" s="179">
        <f>V41*VLOOKUP("Hours",'Model Assumptions'!$B$50:$O$72,13,FALSE)*'Building Breakdown'!$H57*'Building Breakdown'!$I57/168</f>
        <v>0</v>
      </c>
      <c r="AI41" s="234">
        <f t="shared" si="7"/>
        <v>0</v>
      </c>
      <c r="AJ41" s="234">
        <f>'Building Breakdown'!AW57</f>
        <v>0</v>
      </c>
      <c r="AK41" s="234">
        <f t="shared" si="6"/>
        <v>0</v>
      </c>
      <c r="AL41" s="235">
        <f>IF(EXACT('Fabric Changes'!C41,"Yes"),IF('Building Breakdown'!$D$5="High_Security",(HLOOKUP(G41,'Model Assumptions'!$C$43:$E$45,3,FALSE)*'Building Breakdown'!S57),(HLOOKUP(G41,'Model Assumptions'!$C$43:$E$45,2,FALSE)*'Building Breakdown'!S57)),0)</f>
        <v>0</v>
      </c>
      <c r="AM41" s="236">
        <f>IF(EXACT('Fabric Changes'!D41,"Yes"),IF('Building Breakdown'!$D$5="High_Security",('Model Assumptions'!$G$45*'Building Breakdown'!T57),('Model Assumptions'!$G$44*'Building Breakdown'!T57)),0)</f>
        <v>0</v>
      </c>
      <c r="AN41" s="237">
        <f>IF(EXACT('Fabric Changes'!E41,"Yes"),IF('Building Breakdown'!$D$5="High_Security",(HLOOKUP(F41,'Model Assumptions'!C$43:K$45,3,FALSE)*'Building Breakdown'!U57),(HLOOKUP(F41,'Model Assumptions'!C$43:K$45,2,FALSE)*'Building Breakdown'!U57)),0)</f>
        <v>0</v>
      </c>
      <c r="AO41" s="238">
        <f t="shared" si="8"/>
        <v>0</v>
      </c>
      <c r="AP41" s="238">
        <f>IF('Building Breakdown'!$F57='Fabric Changes'!$AP$6,$AK41*'Building Breakdown'!$D$8,0)</f>
        <v>0</v>
      </c>
      <c r="AQ41" s="285">
        <f t="shared" si="9"/>
        <v>0</v>
      </c>
      <c r="AR41" s="287">
        <f>IF($AP41=0,0,$AK41*VLOOKUP('Building Breakdown'!$E$8,'Emission factors'!$C$4:$D$8,2,FALSE))</f>
        <v>0</v>
      </c>
      <c r="AS41" s="238">
        <f>IF('Building Breakdown'!$F57='Fabric Changes'!$AS$6,$AK41*'Building Breakdown'!$D$9,0)</f>
        <v>0</v>
      </c>
      <c r="AT41" s="285">
        <f t="shared" si="10"/>
        <v>0</v>
      </c>
      <c r="AU41" s="287">
        <f>IF($AS41=0,0,$AK41*VLOOKUP('Building Breakdown'!$E$9,'Emission factors'!$C$4:$D$8,2,FALSE))</f>
        <v>0</v>
      </c>
      <c r="AV41" s="238">
        <f>IF('Building Breakdown'!$F57='Fabric Changes'!$AV$6,$AK41*'Building Breakdown'!$D$10,0)</f>
        <v>0</v>
      </c>
      <c r="AW41" s="285">
        <f t="shared" si="5"/>
        <v>0</v>
      </c>
      <c r="AX41" s="287">
        <f>IF($AV41=0,0,$AK41*VLOOKUP('Building Breakdown'!$E$10,'Emission factors'!$C$4:$D$8,2,FALSE))</f>
        <v>0</v>
      </c>
      <c r="AY41" s="169"/>
    </row>
    <row r="42" spans="2:51" x14ac:dyDescent="0.3">
      <c r="B42" s="226" t="str">
        <f>IF('Building Breakdown'!C58="","",'Building Breakdown'!C58)</f>
        <v/>
      </c>
      <c r="C42" s="106"/>
      <c r="D42" s="106"/>
      <c r="E42" s="106"/>
      <c r="F42" s="106"/>
      <c r="G42" s="106"/>
      <c r="H42" s="177">
        <f>MIN(IF(EXACT('Fabric Changes'!C42,"Yes"),'Model Assumptions'!$B$21,'Building Breakdown'!V58),'Building Breakdown'!V58)</f>
        <v>0</v>
      </c>
      <c r="I42" s="178">
        <f>MIN(IF(EXACT('Fabric Changes'!D42,"Yes"),'Model Assumptions'!$D$21,'Building Breakdown'!W58),'Building Breakdown'!W58)</f>
        <v>0</v>
      </c>
      <c r="J42" s="182">
        <f>MIN(IF(EXACT('Fabric Changes'!E42,"Yes"),'Model Assumptions'!$E$21,'Building Breakdown'!X58),'Building Breakdown'!X58)</f>
        <v>0</v>
      </c>
      <c r="K42" s="177">
        <f>(((('Building Breakdown'!$S58*$H42)+('Building Breakdown'!$T58*$I42)+('Building Breakdown'!$U58*$J42))*('Building Breakdown'!$G58-(VLOOKUP('Building Breakdown'!$D$7,'Model Assumptions'!$B$50:$O$72,2,FALSE))))/1000)*'Building Breakdown'!$E58</f>
        <v>0</v>
      </c>
      <c r="L42" s="178">
        <f>(((('Building Breakdown'!$S58*$H42)+('Building Breakdown'!$T58*$I42)+('Building Breakdown'!$U58*$J42))*('Building Breakdown'!$G58-(VLOOKUP('Building Breakdown'!$D$7,'Model Assumptions'!$B$50:$O$72,3,FALSE))))/1000)*'Building Breakdown'!$E58</f>
        <v>0</v>
      </c>
      <c r="M42" s="178">
        <f>(((('Building Breakdown'!$S58*$H42)+('Building Breakdown'!$T58*$I42)+('Building Breakdown'!$U58*$J42))*('Building Breakdown'!$G58-(VLOOKUP('Building Breakdown'!$D$7,'Model Assumptions'!$B$50:$O$72,4,FALSE))))/1000)*'Building Breakdown'!$E58</f>
        <v>0</v>
      </c>
      <c r="N42" s="178">
        <f>(((('Building Breakdown'!$S58*$H42)+('Building Breakdown'!$T58*$I42)+('Building Breakdown'!$U58*$J42))*('Building Breakdown'!$G58-(VLOOKUP('Building Breakdown'!$D$7,'Model Assumptions'!$B$50:$O$72,5,FALSE))))/1000)*'Building Breakdown'!$E58</f>
        <v>0</v>
      </c>
      <c r="O42" s="178">
        <f>(((('Building Breakdown'!$S58*$H42)+('Building Breakdown'!$T58*$I42)+('Building Breakdown'!$U58*$J42))*('Building Breakdown'!$G58-(VLOOKUP('Building Breakdown'!$D$7,'Model Assumptions'!$B$50:$O$72,6,FALSE))))/1000)*'Building Breakdown'!$E58</f>
        <v>0</v>
      </c>
      <c r="P42" s="178">
        <f>(((('Building Breakdown'!$S58*$H42)+('Building Breakdown'!$T58*$I42)+('Building Breakdown'!$U58*$J42))*('Building Breakdown'!$G58-(VLOOKUP('Building Breakdown'!$D$7,'Model Assumptions'!$B$50:$O$72,7,FALSE))))/1000)*'Building Breakdown'!$E58</f>
        <v>0</v>
      </c>
      <c r="Q42" s="178">
        <f>(((('Building Breakdown'!$S58*$H42)+('Building Breakdown'!$T58*$I42)+('Building Breakdown'!$U58*$J42))*('Building Breakdown'!$G58-(VLOOKUP('Building Breakdown'!$D$7,'Model Assumptions'!$B$50:$O$72,8,FALSE))))/1000)*'Building Breakdown'!$E58</f>
        <v>0</v>
      </c>
      <c r="R42" s="178">
        <f>(((('Building Breakdown'!$S58*$H42)+('Building Breakdown'!$T58*$I42)+('Building Breakdown'!$U58*$J42))*('Building Breakdown'!$G58-(VLOOKUP('Building Breakdown'!$D$7,'Model Assumptions'!$B$50:$O$72,9,FALSE))))/1000)*'Building Breakdown'!$E58</f>
        <v>0</v>
      </c>
      <c r="S42" s="178">
        <f>(((('Building Breakdown'!$S58*$H42)+('Building Breakdown'!$T58*$I42)+('Building Breakdown'!$U58*$J42))*('Building Breakdown'!$G58-(VLOOKUP('Building Breakdown'!$D$7,'Model Assumptions'!$B$50:$O$72,10,FALSE))))/1000)*'Building Breakdown'!$E58</f>
        <v>0</v>
      </c>
      <c r="T42" s="178">
        <f>(((('Building Breakdown'!$S58*$H42)+('Building Breakdown'!$T58*$I42)+('Building Breakdown'!$U58*$J42))*('Building Breakdown'!$G58-(VLOOKUP('Building Breakdown'!$D$7,'Model Assumptions'!$B$50:$O$72,11,FALSE))))/1000)*'Building Breakdown'!$E58</f>
        <v>0</v>
      </c>
      <c r="U42" s="178">
        <f>(((('Building Breakdown'!$S58*$H42)+('Building Breakdown'!$T58*$I42)+('Building Breakdown'!$U58*$J42))*('Building Breakdown'!$G58-(VLOOKUP('Building Breakdown'!$D$7,'Model Assumptions'!$B$50:$O$72,12,FALSE))))/1000)*'Building Breakdown'!$E58</f>
        <v>0</v>
      </c>
      <c r="V42" s="179">
        <f>(((('Building Breakdown'!$S58*$H42)+('Building Breakdown'!$T58*$I42)+('Building Breakdown'!$U58*$J42))*('Building Breakdown'!$G58-(VLOOKUP('Building Breakdown'!$D$7,'Model Assumptions'!$B$50:$O$72,13,FALSE))))/1000)*'Building Breakdown'!$E58</f>
        <v>0</v>
      </c>
      <c r="W42" s="177">
        <f>K42*VLOOKUP("Hours",'Model Assumptions'!$B$50:$O$72,2,FALSE)*'Building Breakdown'!$H58*'Building Breakdown'!$I58/168</f>
        <v>0</v>
      </c>
      <c r="X42" s="178">
        <f>L42*VLOOKUP("Hours",'Model Assumptions'!$B$50:$O$72,3,FALSE)*'Building Breakdown'!$H58*'Building Breakdown'!$I58/168</f>
        <v>0</v>
      </c>
      <c r="Y42" s="178">
        <f>M42*VLOOKUP("Hours",'Model Assumptions'!$B$50:$O$72,4,FALSE)*'Building Breakdown'!$H58*'Building Breakdown'!$I58/168</f>
        <v>0</v>
      </c>
      <c r="Z42" s="178">
        <f>N42*VLOOKUP("Hours",'Model Assumptions'!$B$50:$O$72,5,FALSE)*'Building Breakdown'!$H58*'Building Breakdown'!$I58/168</f>
        <v>0</v>
      </c>
      <c r="AA42" s="178">
        <f>O42*VLOOKUP("Hours",'Model Assumptions'!$B$50:$O$72,6,FALSE)*'Building Breakdown'!$H58*'Building Breakdown'!$I58/168</f>
        <v>0</v>
      </c>
      <c r="AB42" s="178">
        <f>P42*VLOOKUP("Hours",'Model Assumptions'!$B$50:$O$72,7,FALSE)*'Building Breakdown'!$H58*'Building Breakdown'!$I58/168</f>
        <v>0</v>
      </c>
      <c r="AC42" s="178">
        <f>Q42*VLOOKUP("Hours",'Model Assumptions'!$B$50:$O$72,8,FALSE)*'Building Breakdown'!$H58*'Building Breakdown'!$I58/168</f>
        <v>0</v>
      </c>
      <c r="AD42" s="178">
        <f>R42*VLOOKUP("Hours",'Model Assumptions'!$B$50:$O$72,9,FALSE)*'Building Breakdown'!$H58*'Building Breakdown'!$I58/168</f>
        <v>0</v>
      </c>
      <c r="AE42" s="178">
        <f>S42*VLOOKUP("Hours",'Model Assumptions'!$B$50:$O$72,10,FALSE)*'Building Breakdown'!$H58*'Building Breakdown'!$I58/168</f>
        <v>0</v>
      </c>
      <c r="AF42" s="178">
        <f>T42*VLOOKUP("Hours",'Model Assumptions'!$B$50:$O$72,11,FALSE)*'Building Breakdown'!$H58*'Building Breakdown'!$I58/168</f>
        <v>0</v>
      </c>
      <c r="AG42" s="178">
        <f>U42*VLOOKUP("Hours",'Model Assumptions'!$B$50:$O$72,12,FALSE)*'Building Breakdown'!$H58*'Building Breakdown'!$I58/168</f>
        <v>0</v>
      </c>
      <c r="AH42" s="179">
        <f>V42*VLOOKUP("Hours",'Model Assumptions'!$B$50:$O$72,13,FALSE)*'Building Breakdown'!$H58*'Building Breakdown'!$I58/168</f>
        <v>0</v>
      </c>
      <c r="AI42" s="234">
        <f t="shared" si="2"/>
        <v>0</v>
      </c>
      <c r="AJ42" s="234">
        <f>'Building Breakdown'!AW58</f>
        <v>0</v>
      </c>
      <c r="AK42" s="234">
        <f t="shared" si="6"/>
        <v>0</v>
      </c>
      <c r="AL42" s="235">
        <f>IF(EXACT('Fabric Changes'!C42,"Yes"),IF('Building Breakdown'!$D$5="High_Security",(HLOOKUP(G42,'Model Assumptions'!$C$43:$E$45,3,FALSE)*'Building Breakdown'!S58),(HLOOKUP(G42,'Model Assumptions'!$C$43:$E$45,2,FALSE)*'Building Breakdown'!S58)),0)</f>
        <v>0</v>
      </c>
      <c r="AM42" s="236">
        <f>IF(EXACT('Fabric Changes'!D42,"Yes"),IF('Building Breakdown'!$D$5="High_Security",('Model Assumptions'!$G$45*'Building Breakdown'!T58),('Model Assumptions'!$G$44*'Building Breakdown'!T58)),0)</f>
        <v>0</v>
      </c>
      <c r="AN42" s="237">
        <f>IF(EXACT('Fabric Changes'!E42,"Yes"),IF('Building Breakdown'!$D$5="High_Security",(HLOOKUP(F42,'Model Assumptions'!C$43:K$45,3,FALSE)*'Building Breakdown'!U58),(HLOOKUP(F42,'Model Assumptions'!C$43:K$45,2,FALSE)*'Building Breakdown'!U58)),0)</f>
        <v>0</v>
      </c>
      <c r="AO42" s="238">
        <f t="shared" si="3"/>
        <v>0</v>
      </c>
      <c r="AP42" s="238">
        <f>IF('Building Breakdown'!$F58='Fabric Changes'!$AP$6,$AK42*'Building Breakdown'!$D$8,0)</f>
        <v>0</v>
      </c>
      <c r="AQ42" s="285">
        <f t="shared" si="1"/>
        <v>0</v>
      </c>
      <c r="AR42" s="287">
        <f>IF($AP42=0,0,$AK42*VLOOKUP('Building Breakdown'!$E$8,'Emission factors'!$C$4:$D$8,2,FALSE))</f>
        <v>0</v>
      </c>
      <c r="AS42" s="238">
        <f>IF('Building Breakdown'!$F58='Fabric Changes'!$AS$6,$AK42*'Building Breakdown'!$D$9,0)</f>
        <v>0</v>
      </c>
      <c r="AT42" s="285">
        <f t="shared" si="4"/>
        <v>0</v>
      </c>
      <c r="AU42" s="287">
        <f>IF($AS42=0,0,$AK42*VLOOKUP('Building Breakdown'!$E$9,'Emission factors'!$C$4:$D$8,2,FALSE))</f>
        <v>0</v>
      </c>
      <c r="AV42" s="238">
        <f>IF('Building Breakdown'!$F58='Fabric Changes'!$AV$6,$AK42*'Building Breakdown'!$D$10,0)</f>
        <v>0</v>
      </c>
      <c r="AW42" s="285">
        <f t="shared" si="5"/>
        <v>0</v>
      </c>
      <c r="AX42" s="287">
        <f>IF($AV42=0,0,$AK42*VLOOKUP('Building Breakdown'!$E$10,'Emission factors'!$C$4:$D$8,2,FALSE))</f>
        <v>0</v>
      </c>
      <c r="AY42" s="169"/>
    </row>
    <row r="43" spans="2:51" x14ac:dyDescent="0.3">
      <c r="B43" s="226" t="str">
        <f>IF('Building Breakdown'!C59="","",'Building Breakdown'!C59)</f>
        <v/>
      </c>
      <c r="C43" s="106"/>
      <c r="D43" s="106"/>
      <c r="E43" s="106"/>
      <c r="F43" s="106"/>
      <c r="G43" s="106"/>
      <c r="H43" s="177">
        <f>MIN(IF(EXACT('Fabric Changes'!C43,"Yes"),'Model Assumptions'!$B$21,'Building Breakdown'!V59),'Building Breakdown'!V59)</f>
        <v>0</v>
      </c>
      <c r="I43" s="178">
        <f>MIN(IF(EXACT('Fabric Changes'!D43,"Yes"),'Model Assumptions'!$D$21,'Building Breakdown'!W59),'Building Breakdown'!W59)</f>
        <v>0</v>
      </c>
      <c r="J43" s="182">
        <f>MIN(IF(EXACT('Fabric Changes'!E43,"Yes"),'Model Assumptions'!$E$21,'Building Breakdown'!X59),'Building Breakdown'!X59)</f>
        <v>0</v>
      </c>
      <c r="K43" s="177">
        <f>(((('Building Breakdown'!$S59*$H43)+('Building Breakdown'!$T59*$I43)+('Building Breakdown'!$U59*$J43))*('Building Breakdown'!$G59-(VLOOKUP('Building Breakdown'!$D$7,'Model Assumptions'!$B$50:$O$72,2,FALSE))))/1000)*'Building Breakdown'!$E59</f>
        <v>0</v>
      </c>
      <c r="L43" s="178">
        <f>(((('Building Breakdown'!$S59*$H43)+('Building Breakdown'!$T59*$I43)+('Building Breakdown'!$U59*$J43))*('Building Breakdown'!$G59-(VLOOKUP('Building Breakdown'!$D$7,'Model Assumptions'!$B$50:$O$72,3,FALSE))))/1000)*'Building Breakdown'!$E59</f>
        <v>0</v>
      </c>
      <c r="M43" s="178">
        <f>(((('Building Breakdown'!$S59*$H43)+('Building Breakdown'!$T59*$I43)+('Building Breakdown'!$U59*$J43))*('Building Breakdown'!$G59-(VLOOKUP('Building Breakdown'!$D$7,'Model Assumptions'!$B$50:$O$72,4,FALSE))))/1000)*'Building Breakdown'!$E59</f>
        <v>0</v>
      </c>
      <c r="N43" s="178">
        <f>(((('Building Breakdown'!$S59*$H43)+('Building Breakdown'!$T59*$I43)+('Building Breakdown'!$U59*$J43))*('Building Breakdown'!$G59-(VLOOKUP('Building Breakdown'!$D$7,'Model Assumptions'!$B$50:$O$72,5,FALSE))))/1000)*'Building Breakdown'!$E59</f>
        <v>0</v>
      </c>
      <c r="O43" s="178">
        <f>(((('Building Breakdown'!$S59*$H43)+('Building Breakdown'!$T59*$I43)+('Building Breakdown'!$U59*$J43))*('Building Breakdown'!$G59-(VLOOKUP('Building Breakdown'!$D$7,'Model Assumptions'!$B$50:$O$72,6,FALSE))))/1000)*'Building Breakdown'!$E59</f>
        <v>0</v>
      </c>
      <c r="P43" s="178">
        <f>(((('Building Breakdown'!$S59*$H43)+('Building Breakdown'!$T59*$I43)+('Building Breakdown'!$U59*$J43))*('Building Breakdown'!$G59-(VLOOKUP('Building Breakdown'!$D$7,'Model Assumptions'!$B$50:$O$72,7,FALSE))))/1000)*'Building Breakdown'!$E59</f>
        <v>0</v>
      </c>
      <c r="Q43" s="178">
        <f>(((('Building Breakdown'!$S59*$H43)+('Building Breakdown'!$T59*$I43)+('Building Breakdown'!$U59*$J43))*('Building Breakdown'!$G59-(VLOOKUP('Building Breakdown'!$D$7,'Model Assumptions'!$B$50:$O$72,8,FALSE))))/1000)*'Building Breakdown'!$E59</f>
        <v>0</v>
      </c>
      <c r="R43" s="178">
        <f>(((('Building Breakdown'!$S59*$H43)+('Building Breakdown'!$T59*$I43)+('Building Breakdown'!$U59*$J43))*('Building Breakdown'!$G59-(VLOOKUP('Building Breakdown'!$D$7,'Model Assumptions'!$B$50:$O$72,9,FALSE))))/1000)*'Building Breakdown'!$E59</f>
        <v>0</v>
      </c>
      <c r="S43" s="178">
        <f>(((('Building Breakdown'!$S59*$H43)+('Building Breakdown'!$T59*$I43)+('Building Breakdown'!$U59*$J43))*('Building Breakdown'!$G59-(VLOOKUP('Building Breakdown'!$D$7,'Model Assumptions'!$B$50:$O$72,10,FALSE))))/1000)*'Building Breakdown'!$E59</f>
        <v>0</v>
      </c>
      <c r="T43" s="178">
        <f>(((('Building Breakdown'!$S59*$H43)+('Building Breakdown'!$T59*$I43)+('Building Breakdown'!$U59*$J43))*('Building Breakdown'!$G59-(VLOOKUP('Building Breakdown'!$D$7,'Model Assumptions'!$B$50:$O$72,11,FALSE))))/1000)*'Building Breakdown'!$E59</f>
        <v>0</v>
      </c>
      <c r="U43" s="178">
        <f>(((('Building Breakdown'!$S59*$H43)+('Building Breakdown'!$T59*$I43)+('Building Breakdown'!$U59*$J43))*('Building Breakdown'!$G59-(VLOOKUP('Building Breakdown'!$D$7,'Model Assumptions'!$B$50:$O$72,12,FALSE))))/1000)*'Building Breakdown'!$E59</f>
        <v>0</v>
      </c>
      <c r="V43" s="179">
        <f>(((('Building Breakdown'!$S59*$H43)+('Building Breakdown'!$T59*$I43)+('Building Breakdown'!$U59*$J43))*('Building Breakdown'!$G59-(VLOOKUP('Building Breakdown'!$D$7,'Model Assumptions'!$B$50:$O$72,13,FALSE))))/1000)*'Building Breakdown'!$E59</f>
        <v>0</v>
      </c>
      <c r="W43" s="177">
        <f>K43*VLOOKUP("Hours",'Model Assumptions'!$B$50:$O$72,2,FALSE)*'Building Breakdown'!$H59*'Building Breakdown'!$I59/168</f>
        <v>0</v>
      </c>
      <c r="X43" s="178">
        <f>L43*VLOOKUP("Hours",'Model Assumptions'!$B$50:$O$72,3,FALSE)*'Building Breakdown'!$H59*'Building Breakdown'!$I59/168</f>
        <v>0</v>
      </c>
      <c r="Y43" s="178">
        <f>M43*VLOOKUP("Hours",'Model Assumptions'!$B$50:$O$72,4,FALSE)*'Building Breakdown'!$H59*'Building Breakdown'!$I59/168</f>
        <v>0</v>
      </c>
      <c r="Z43" s="178">
        <f>N43*VLOOKUP("Hours",'Model Assumptions'!$B$50:$O$72,5,FALSE)*'Building Breakdown'!$H59*'Building Breakdown'!$I59/168</f>
        <v>0</v>
      </c>
      <c r="AA43" s="178">
        <f>O43*VLOOKUP("Hours",'Model Assumptions'!$B$50:$O$72,6,FALSE)*'Building Breakdown'!$H59*'Building Breakdown'!$I59/168</f>
        <v>0</v>
      </c>
      <c r="AB43" s="178">
        <f>P43*VLOOKUP("Hours",'Model Assumptions'!$B$50:$O$72,7,FALSE)*'Building Breakdown'!$H59*'Building Breakdown'!$I59/168</f>
        <v>0</v>
      </c>
      <c r="AC43" s="178">
        <f>Q43*VLOOKUP("Hours",'Model Assumptions'!$B$50:$O$72,8,FALSE)*'Building Breakdown'!$H59*'Building Breakdown'!$I59/168</f>
        <v>0</v>
      </c>
      <c r="AD43" s="178">
        <f>R43*VLOOKUP("Hours",'Model Assumptions'!$B$50:$O$72,9,FALSE)*'Building Breakdown'!$H59*'Building Breakdown'!$I59/168</f>
        <v>0</v>
      </c>
      <c r="AE43" s="178">
        <f>S43*VLOOKUP("Hours",'Model Assumptions'!$B$50:$O$72,10,FALSE)*'Building Breakdown'!$H59*'Building Breakdown'!$I59/168</f>
        <v>0</v>
      </c>
      <c r="AF43" s="178">
        <f>T43*VLOOKUP("Hours",'Model Assumptions'!$B$50:$O$72,11,FALSE)*'Building Breakdown'!$H59*'Building Breakdown'!$I59/168</f>
        <v>0</v>
      </c>
      <c r="AG43" s="178">
        <f>U43*VLOOKUP("Hours",'Model Assumptions'!$B$50:$O$72,12,FALSE)*'Building Breakdown'!$H59*'Building Breakdown'!$I59/168</f>
        <v>0</v>
      </c>
      <c r="AH43" s="179">
        <f>V43*VLOOKUP("Hours",'Model Assumptions'!$B$50:$O$72,13,FALSE)*'Building Breakdown'!$H59*'Building Breakdown'!$I59/168</f>
        <v>0</v>
      </c>
      <c r="AI43" s="234">
        <f t="shared" si="2"/>
        <v>0</v>
      </c>
      <c r="AJ43" s="234">
        <f>'Building Breakdown'!AW59</f>
        <v>0</v>
      </c>
      <c r="AK43" s="234">
        <f t="shared" si="6"/>
        <v>0</v>
      </c>
      <c r="AL43" s="235">
        <f>IF(EXACT('Fabric Changes'!C43,"Yes"),IF('Building Breakdown'!$D$5="High_Security",(HLOOKUP(G43,'Model Assumptions'!$C$43:$E$45,3,FALSE)*'Building Breakdown'!S59),(HLOOKUP(G43,'Model Assumptions'!$C$43:$E$45,2,FALSE)*'Building Breakdown'!S59)),0)</f>
        <v>0</v>
      </c>
      <c r="AM43" s="236">
        <f>IF(EXACT('Fabric Changes'!D43,"Yes"),IF('Building Breakdown'!$D$5="High_Security",('Model Assumptions'!$G$45*'Building Breakdown'!T59),('Model Assumptions'!$G$44*'Building Breakdown'!T59)),0)</f>
        <v>0</v>
      </c>
      <c r="AN43" s="237">
        <f>IF(EXACT('Fabric Changes'!E43,"Yes"),IF('Building Breakdown'!$D$5="High_Security",(HLOOKUP(F43,'Model Assumptions'!C$43:K$45,3,FALSE)*'Building Breakdown'!U59),(HLOOKUP(F43,'Model Assumptions'!C$43:K$45,2,FALSE)*'Building Breakdown'!U59)),0)</f>
        <v>0</v>
      </c>
      <c r="AO43" s="238">
        <f t="shared" si="3"/>
        <v>0</v>
      </c>
      <c r="AP43" s="238">
        <f>IF('Building Breakdown'!$F59='Fabric Changes'!$AP$6,$AK43*'Building Breakdown'!$D$8,0)</f>
        <v>0</v>
      </c>
      <c r="AQ43" s="285">
        <f t="shared" si="1"/>
        <v>0</v>
      </c>
      <c r="AR43" s="287">
        <f>IF($AP43=0,0,$AK43*VLOOKUP('Building Breakdown'!$E$8,'Emission factors'!$C$4:$D$8,2,FALSE))</f>
        <v>0</v>
      </c>
      <c r="AS43" s="238">
        <f>IF('Building Breakdown'!$F59='Fabric Changes'!$AS$6,$AK43*'Building Breakdown'!$D$9,0)</f>
        <v>0</v>
      </c>
      <c r="AT43" s="285">
        <f t="shared" si="4"/>
        <v>0</v>
      </c>
      <c r="AU43" s="287">
        <f>IF($AS43=0,0,$AK43*VLOOKUP('Building Breakdown'!$E$9,'Emission factors'!$C$4:$D$8,2,FALSE))</f>
        <v>0</v>
      </c>
      <c r="AV43" s="238">
        <f>IF('Building Breakdown'!$F59='Fabric Changes'!$AV$6,$AK43*'Building Breakdown'!$D$10,0)</f>
        <v>0</v>
      </c>
      <c r="AW43" s="285">
        <f t="shared" si="5"/>
        <v>0</v>
      </c>
      <c r="AX43" s="287">
        <f>IF($AV43=0,0,$AK43*VLOOKUP('Building Breakdown'!$E$10,'Emission factors'!$C$4:$D$8,2,FALSE))</f>
        <v>0</v>
      </c>
      <c r="AY43" s="169"/>
    </row>
    <row r="44" spans="2:51" x14ac:dyDescent="0.3">
      <c r="B44" s="226" t="str">
        <f>IF('Building Breakdown'!C60="","",'Building Breakdown'!C60)</f>
        <v/>
      </c>
      <c r="C44" s="106"/>
      <c r="D44" s="106"/>
      <c r="E44" s="106"/>
      <c r="F44" s="106"/>
      <c r="G44" s="106"/>
      <c r="H44" s="177">
        <f>MIN(IF(EXACT('Fabric Changes'!C44,"Yes"),'Model Assumptions'!$B$21,'Building Breakdown'!V60),'Building Breakdown'!V60)</f>
        <v>0</v>
      </c>
      <c r="I44" s="178">
        <f>MIN(IF(EXACT('Fabric Changes'!D44,"Yes"),'Model Assumptions'!$D$21,'Building Breakdown'!W60),'Building Breakdown'!W60)</f>
        <v>0</v>
      </c>
      <c r="J44" s="182">
        <f>MIN(IF(EXACT('Fabric Changes'!E44,"Yes"),'Model Assumptions'!$E$21,'Building Breakdown'!X60),'Building Breakdown'!X60)</f>
        <v>0</v>
      </c>
      <c r="K44" s="177">
        <f>(((('Building Breakdown'!$S60*$H44)+('Building Breakdown'!$T60*$I44)+('Building Breakdown'!$U60*$J44))*('Building Breakdown'!$G60-(VLOOKUP('Building Breakdown'!$D$7,'Model Assumptions'!$B$50:$O$72,2,FALSE))))/1000)*'Building Breakdown'!$E60</f>
        <v>0</v>
      </c>
      <c r="L44" s="178">
        <f>(((('Building Breakdown'!$S60*$H44)+('Building Breakdown'!$T60*$I44)+('Building Breakdown'!$U60*$J44))*('Building Breakdown'!$G60-(VLOOKUP('Building Breakdown'!$D$7,'Model Assumptions'!$B$50:$O$72,3,FALSE))))/1000)*'Building Breakdown'!$E60</f>
        <v>0</v>
      </c>
      <c r="M44" s="178">
        <f>(((('Building Breakdown'!$S60*$H44)+('Building Breakdown'!$T60*$I44)+('Building Breakdown'!$U60*$J44))*('Building Breakdown'!$G60-(VLOOKUP('Building Breakdown'!$D$7,'Model Assumptions'!$B$50:$O$72,4,FALSE))))/1000)*'Building Breakdown'!$E60</f>
        <v>0</v>
      </c>
      <c r="N44" s="178">
        <f>(((('Building Breakdown'!$S60*$H44)+('Building Breakdown'!$T60*$I44)+('Building Breakdown'!$U60*$J44))*('Building Breakdown'!$G60-(VLOOKUP('Building Breakdown'!$D$7,'Model Assumptions'!$B$50:$O$72,5,FALSE))))/1000)*'Building Breakdown'!$E60</f>
        <v>0</v>
      </c>
      <c r="O44" s="178">
        <f>(((('Building Breakdown'!$S60*$H44)+('Building Breakdown'!$T60*$I44)+('Building Breakdown'!$U60*$J44))*('Building Breakdown'!$G60-(VLOOKUP('Building Breakdown'!$D$7,'Model Assumptions'!$B$50:$O$72,6,FALSE))))/1000)*'Building Breakdown'!$E60</f>
        <v>0</v>
      </c>
      <c r="P44" s="178">
        <f>(((('Building Breakdown'!$S60*$H44)+('Building Breakdown'!$T60*$I44)+('Building Breakdown'!$U60*$J44))*('Building Breakdown'!$G60-(VLOOKUP('Building Breakdown'!$D$7,'Model Assumptions'!$B$50:$O$72,7,FALSE))))/1000)*'Building Breakdown'!$E60</f>
        <v>0</v>
      </c>
      <c r="Q44" s="178">
        <f>(((('Building Breakdown'!$S60*$H44)+('Building Breakdown'!$T60*$I44)+('Building Breakdown'!$U60*$J44))*('Building Breakdown'!$G60-(VLOOKUP('Building Breakdown'!$D$7,'Model Assumptions'!$B$50:$O$72,8,FALSE))))/1000)*'Building Breakdown'!$E60</f>
        <v>0</v>
      </c>
      <c r="R44" s="178">
        <f>(((('Building Breakdown'!$S60*$H44)+('Building Breakdown'!$T60*$I44)+('Building Breakdown'!$U60*$J44))*('Building Breakdown'!$G60-(VLOOKUP('Building Breakdown'!$D$7,'Model Assumptions'!$B$50:$O$72,9,FALSE))))/1000)*'Building Breakdown'!$E60</f>
        <v>0</v>
      </c>
      <c r="S44" s="178">
        <f>(((('Building Breakdown'!$S60*$H44)+('Building Breakdown'!$T60*$I44)+('Building Breakdown'!$U60*$J44))*('Building Breakdown'!$G60-(VLOOKUP('Building Breakdown'!$D$7,'Model Assumptions'!$B$50:$O$72,10,FALSE))))/1000)*'Building Breakdown'!$E60</f>
        <v>0</v>
      </c>
      <c r="T44" s="178">
        <f>(((('Building Breakdown'!$S60*$H44)+('Building Breakdown'!$T60*$I44)+('Building Breakdown'!$U60*$J44))*('Building Breakdown'!$G60-(VLOOKUP('Building Breakdown'!$D$7,'Model Assumptions'!$B$50:$O$72,11,FALSE))))/1000)*'Building Breakdown'!$E60</f>
        <v>0</v>
      </c>
      <c r="U44" s="178">
        <f>(((('Building Breakdown'!$S60*$H44)+('Building Breakdown'!$T60*$I44)+('Building Breakdown'!$U60*$J44))*('Building Breakdown'!$G60-(VLOOKUP('Building Breakdown'!$D$7,'Model Assumptions'!$B$50:$O$72,12,FALSE))))/1000)*'Building Breakdown'!$E60</f>
        <v>0</v>
      </c>
      <c r="V44" s="179">
        <f>(((('Building Breakdown'!$S60*$H44)+('Building Breakdown'!$T60*$I44)+('Building Breakdown'!$U60*$J44))*('Building Breakdown'!$G60-(VLOOKUP('Building Breakdown'!$D$7,'Model Assumptions'!$B$50:$O$72,13,FALSE))))/1000)*'Building Breakdown'!$E60</f>
        <v>0</v>
      </c>
      <c r="W44" s="177">
        <f>K44*VLOOKUP("Hours",'Model Assumptions'!$B$50:$O$72,2,FALSE)*'Building Breakdown'!$H60*'Building Breakdown'!$I60/168</f>
        <v>0</v>
      </c>
      <c r="X44" s="178">
        <f>L44*VLOOKUP("Hours",'Model Assumptions'!$B$50:$O$72,3,FALSE)*'Building Breakdown'!$H60*'Building Breakdown'!$I60/168</f>
        <v>0</v>
      </c>
      <c r="Y44" s="178">
        <f>M44*VLOOKUP("Hours",'Model Assumptions'!$B$50:$O$72,4,FALSE)*'Building Breakdown'!$H60*'Building Breakdown'!$I60/168</f>
        <v>0</v>
      </c>
      <c r="Z44" s="178">
        <f>N44*VLOOKUP("Hours",'Model Assumptions'!$B$50:$O$72,5,FALSE)*'Building Breakdown'!$H60*'Building Breakdown'!$I60/168</f>
        <v>0</v>
      </c>
      <c r="AA44" s="178">
        <f>O44*VLOOKUP("Hours",'Model Assumptions'!$B$50:$O$72,6,FALSE)*'Building Breakdown'!$H60*'Building Breakdown'!$I60/168</f>
        <v>0</v>
      </c>
      <c r="AB44" s="178">
        <f>P44*VLOOKUP("Hours",'Model Assumptions'!$B$50:$O$72,7,FALSE)*'Building Breakdown'!$H60*'Building Breakdown'!$I60/168</f>
        <v>0</v>
      </c>
      <c r="AC44" s="178">
        <f>Q44*VLOOKUP("Hours",'Model Assumptions'!$B$50:$O$72,8,FALSE)*'Building Breakdown'!$H60*'Building Breakdown'!$I60/168</f>
        <v>0</v>
      </c>
      <c r="AD44" s="178">
        <f>R44*VLOOKUP("Hours",'Model Assumptions'!$B$50:$O$72,9,FALSE)*'Building Breakdown'!$H60*'Building Breakdown'!$I60/168</f>
        <v>0</v>
      </c>
      <c r="AE44" s="178">
        <f>S44*VLOOKUP("Hours",'Model Assumptions'!$B$50:$O$72,10,FALSE)*'Building Breakdown'!$H60*'Building Breakdown'!$I60/168</f>
        <v>0</v>
      </c>
      <c r="AF44" s="178">
        <f>T44*VLOOKUP("Hours",'Model Assumptions'!$B$50:$O$72,11,FALSE)*'Building Breakdown'!$H60*'Building Breakdown'!$I60/168</f>
        <v>0</v>
      </c>
      <c r="AG44" s="178">
        <f>U44*VLOOKUP("Hours",'Model Assumptions'!$B$50:$O$72,12,FALSE)*'Building Breakdown'!$H60*'Building Breakdown'!$I60/168</f>
        <v>0</v>
      </c>
      <c r="AH44" s="179">
        <f>V44*VLOOKUP("Hours",'Model Assumptions'!$B$50:$O$72,13,FALSE)*'Building Breakdown'!$H60*'Building Breakdown'!$I60/168</f>
        <v>0</v>
      </c>
      <c r="AI44" s="234">
        <f t="shared" si="2"/>
        <v>0</v>
      </c>
      <c r="AJ44" s="234">
        <f>'Building Breakdown'!AW60</f>
        <v>0</v>
      </c>
      <c r="AK44" s="234">
        <f t="shared" si="6"/>
        <v>0</v>
      </c>
      <c r="AL44" s="235">
        <f>IF(EXACT('Fabric Changes'!C44,"Yes"),IF('Building Breakdown'!$D$5="High_Security",(HLOOKUP(G44,'Model Assumptions'!$C$43:$E$45,3,FALSE)*'Building Breakdown'!S60),(HLOOKUP(G44,'Model Assumptions'!$C$43:$E$45,2,FALSE)*'Building Breakdown'!S60)),0)</f>
        <v>0</v>
      </c>
      <c r="AM44" s="236">
        <f>IF(EXACT('Fabric Changes'!D44,"Yes"),IF('Building Breakdown'!$D$5="High_Security",('Model Assumptions'!$G$45*'Building Breakdown'!T60),('Model Assumptions'!$G$44*'Building Breakdown'!T60)),0)</f>
        <v>0</v>
      </c>
      <c r="AN44" s="237">
        <f>IF(EXACT('Fabric Changes'!E44,"Yes"),IF('Building Breakdown'!$D$5="High_Security",(HLOOKUP(F44,'Model Assumptions'!C$43:K$45,3,FALSE)*'Building Breakdown'!U60),(HLOOKUP(F44,'Model Assumptions'!C$43:K$45,2,FALSE)*'Building Breakdown'!U60)),0)</f>
        <v>0</v>
      </c>
      <c r="AO44" s="238">
        <f t="shared" si="3"/>
        <v>0</v>
      </c>
      <c r="AP44" s="238">
        <f>IF('Building Breakdown'!$F60='Fabric Changes'!$AP$6,$AK44*'Building Breakdown'!$D$8,0)</f>
        <v>0</v>
      </c>
      <c r="AQ44" s="285">
        <f t="shared" si="1"/>
        <v>0</v>
      </c>
      <c r="AR44" s="287">
        <f>IF($AP44=0,0,$AK44*VLOOKUP('Building Breakdown'!$E$8,'Emission factors'!$C$4:$D$8,2,FALSE))</f>
        <v>0</v>
      </c>
      <c r="AS44" s="238">
        <f>IF('Building Breakdown'!$F60='Fabric Changes'!$AS$6,$AK44*'Building Breakdown'!$D$9,0)</f>
        <v>0</v>
      </c>
      <c r="AT44" s="285">
        <f t="shared" si="4"/>
        <v>0</v>
      </c>
      <c r="AU44" s="287">
        <f>IF($AS44=0,0,$AK44*VLOOKUP('Building Breakdown'!$E$9,'Emission factors'!$C$4:$D$8,2,FALSE))</f>
        <v>0</v>
      </c>
      <c r="AV44" s="238">
        <f>IF('Building Breakdown'!$F60='Fabric Changes'!$AV$6,$AK44*'Building Breakdown'!$D$10,0)</f>
        <v>0</v>
      </c>
      <c r="AW44" s="285">
        <f t="shared" si="5"/>
        <v>0</v>
      </c>
      <c r="AX44" s="287">
        <f>IF($AV44=0,0,$AK44*VLOOKUP('Building Breakdown'!$E$10,'Emission factors'!$C$4:$D$8,2,FALSE))</f>
        <v>0</v>
      </c>
      <c r="AY44" s="169"/>
    </row>
    <row r="45" spans="2:51" x14ac:dyDescent="0.3">
      <c r="B45" s="226" t="str">
        <f>IF('Building Breakdown'!C61="","",'Building Breakdown'!C61)</f>
        <v/>
      </c>
      <c r="C45" s="106"/>
      <c r="D45" s="106"/>
      <c r="E45" s="106"/>
      <c r="F45" s="106"/>
      <c r="G45" s="106"/>
      <c r="H45" s="177">
        <f>MIN(IF(EXACT('Fabric Changes'!C45,"Yes"),'Model Assumptions'!$B$21,'Building Breakdown'!V61),'Building Breakdown'!V61)</f>
        <v>0</v>
      </c>
      <c r="I45" s="178">
        <f>MIN(IF(EXACT('Fabric Changes'!D45,"Yes"),'Model Assumptions'!$D$21,'Building Breakdown'!W61),'Building Breakdown'!W61)</f>
        <v>0</v>
      </c>
      <c r="J45" s="182">
        <f>MIN(IF(EXACT('Fabric Changes'!E45,"Yes"),'Model Assumptions'!$E$21,'Building Breakdown'!X61),'Building Breakdown'!X61)</f>
        <v>0</v>
      </c>
      <c r="K45" s="177">
        <f>(((('Building Breakdown'!$S61*$H45)+('Building Breakdown'!$T61*$I45)+('Building Breakdown'!$U61*$J45))*('Building Breakdown'!$G61-(VLOOKUP('Building Breakdown'!$D$7,'Model Assumptions'!$B$50:$O$72,2,FALSE))))/1000)*'Building Breakdown'!$E61</f>
        <v>0</v>
      </c>
      <c r="L45" s="178">
        <f>(((('Building Breakdown'!$S61*$H45)+('Building Breakdown'!$T61*$I45)+('Building Breakdown'!$U61*$J45))*('Building Breakdown'!$G61-(VLOOKUP('Building Breakdown'!$D$7,'Model Assumptions'!$B$50:$O$72,3,FALSE))))/1000)*'Building Breakdown'!$E61</f>
        <v>0</v>
      </c>
      <c r="M45" s="178">
        <f>(((('Building Breakdown'!$S61*$H45)+('Building Breakdown'!$T61*$I45)+('Building Breakdown'!$U61*$J45))*('Building Breakdown'!$G61-(VLOOKUP('Building Breakdown'!$D$7,'Model Assumptions'!$B$50:$O$72,4,FALSE))))/1000)*'Building Breakdown'!$E61</f>
        <v>0</v>
      </c>
      <c r="N45" s="178">
        <f>(((('Building Breakdown'!$S61*$H45)+('Building Breakdown'!$T61*$I45)+('Building Breakdown'!$U61*$J45))*('Building Breakdown'!$G61-(VLOOKUP('Building Breakdown'!$D$7,'Model Assumptions'!$B$50:$O$72,5,FALSE))))/1000)*'Building Breakdown'!$E61</f>
        <v>0</v>
      </c>
      <c r="O45" s="178">
        <f>(((('Building Breakdown'!$S61*$H45)+('Building Breakdown'!$T61*$I45)+('Building Breakdown'!$U61*$J45))*('Building Breakdown'!$G61-(VLOOKUP('Building Breakdown'!$D$7,'Model Assumptions'!$B$50:$O$72,6,FALSE))))/1000)*'Building Breakdown'!$E61</f>
        <v>0</v>
      </c>
      <c r="P45" s="178">
        <f>(((('Building Breakdown'!$S61*$H45)+('Building Breakdown'!$T61*$I45)+('Building Breakdown'!$U61*$J45))*('Building Breakdown'!$G61-(VLOOKUP('Building Breakdown'!$D$7,'Model Assumptions'!$B$50:$O$72,7,FALSE))))/1000)*'Building Breakdown'!$E61</f>
        <v>0</v>
      </c>
      <c r="Q45" s="178">
        <f>(((('Building Breakdown'!$S61*$H45)+('Building Breakdown'!$T61*$I45)+('Building Breakdown'!$U61*$J45))*('Building Breakdown'!$G61-(VLOOKUP('Building Breakdown'!$D$7,'Model Assumptions'!$B$50:$O$72,8,FALSE))))/1000)*'Building Breakdown'!$E61</f>
        <v>0</v>
      </c>
      <c r="R45" s="178">
        <f>(((('Building Breakdown'!$S61*$H45)+('Building Breakdown'!$T61*$I45)+('Building Breakdown'!$U61*$J45))*('Building Breakdown'!$G61-(VLOOKUP('Building Breakdown'!$D$7,'Model Assumptions'!$B$50:$O$72,9,FALSE))))/1000)*'Building Breakdown'!$E61</f>
        <v>0</v>
      </c>
      <c r="S45" s="178">
        <f>(((('Building Breakdown'!$S61*$H45)+('Building Breakdown'!$T61*$I45)+('Building Breakdown'!$U61*$J45))*('Building Breakdown'!$G61-(VLOOKUP('Building Breakdown'!$D$7,'Model Assumptions'!$B$50:$O$72,10,FALSE))))/1000)*'Building Breakdown'!$E61</f>
        <v>0</v>
      </c>
      <c r="T45" s="178">
        <f>(((('Building Breakdown'!$S61*$H45)+('Building Breakdown'!$T61*$I45)+('Building Breakdown'!$U61*$J45))*('Building Breakdown'!$G61-(VLOOKUP('Building Breakdown'!$D$7,'Model Assumptions'!$B$50:$O$72,11,FALSE))))/1000)*'Building Breakdown'!$E61</f>
        <v>0</v>
      </c>
      <c r="U45" s="178">
        <f>(((('Building Breakdown'!$S61*$H45)+('Building Breakdown'!$T61*$I45)+('Building Breakdown'!$U61*$J45))*('Building Breakdown'!$G61-(VLOOKUP('Building Breakdown'!$D$7,'Model Assumptions'!$B$50:$O$72,12,FALSE))))/1000)*'Building Breakdown'!$E61</f>
        <v>0</v>
      </c>
      <c r="V45" s="179">
        <f>(((('Building Breakdown'!$S61*$H45)+('Building Breakdown'!$T61*$I45)+('Building Breakdown'!$U61*$J45))*('Building Breakdown'!$G61-(VLOOKUP('Building Breakdown'!$D$7,'Model Assumptions'!$B$50:$O$72,13,FALSE))))/1000)*'Building Breakdown'!$E61</f>
        <v>0</v>
      </c>
      <c r="W45" s="177">
        <f>K45*VLOOKUP("Hours",'Model Assumptions'!$B$50:$O$72,2,FALSE)*'Building Breakdown'!$H61*'Building Breakdown'!$I61/168</f>
        <v>0</v>
      </c>
      <c r="X45" s="178">
        <f>L45*VLOOKUP("Hours",'Model Assumptions'!$B$50:$O$72,3,FALSE)*'Building Breakdown'!$H61*'Building Breakdown'!$I61/168</f>
        <v>0</v>
      </c>
      <c r="Y45" s="178">
        <f>M45*VLOOKUP("Hours",'Model Assumptions'!$B$50:$O$72,4,FALSE)*'Building Breakdown'!$H61*'Building Breakdown'!$I61/168</f>
        <v>0</v>
      </c>
      <c r="Z45" s="178">
        <f>N45*VLOOKUP("Hours",'Model Assumptions'!$B$50:$O$72,5,FALSE)*'Building Breakdown'!$H61*'Building Breakdown'!$I61/168</f>
        <v>0</v>
      </c>
      <c r="AA45" s="178">
        <f>O45*VLOOKUP("Hours",'Model Assumptions'!$B$50:$O$72,6,FALSE)*'Building Breakdown'!$H61*'Building Breakdown'!$I61/168</f>
        <v>0</v>
      </c>
      <c r="AB45" s="178">
        <f>P45*VLOOKUP("Hours",'Model Assumptions'!$B$50:$O$72,7,FALSE)*'Building Breakdown'!$H61*'Building Breakdown'!$I61/168</f>
        <v>0</v>
      </c>
      <c r="AC45" s="178">
        <f>Q45*VLOOKUP("Hours",'Model Assumptions'!$B$50:$O$72,8,FALSE)*'Building Breakdown'!$H61*'Building Breakdown'!$I61/168</f>
        <v>0</v>
      </c>
      <c r="AD45" s="178">
        <f>R45*VLOOKUP("Hours",'Model Assumptions'!$B$50:$O$72,9,FALSE)*'Building Breakdown'!$H61*'Building Breakdown'!$I61/168</f>
        <v>0</v>
      </c>
      <c r="AE45" s="178">
        <f>S45*VLOOKUP("Hours",'Model Assumptions'!$B$50:$O$72,10,FALSE)*'Building Breakdown'!$H61*'Building Breakdown'!$I61/168</f>
        <v>0</v>
      </c>
      <c r="AF45" s="178">
        <f>T45*VLOOKUP("Hours",'Model Assumptions'!$B$50:$O$72,11,FALSE)*'Building Breakdown'!$H61*'Building Breakdown'!$I61/168</f>
        <v>0</v>
      </c>
      <c r="AG45" s="178">
        <f>U45*VLOOKUP("Hours",'Model Assumptions'!$B$50:$O$72,12,FALSE)*'Building Breakdown'!$H61*'Building Breakdown'!$I61/168</f>
        <v>0</v>
      </c>
      <c r="AH45" s="179">
        <f>V45*VLOOKUP("Hours",'Model Assumptions'!$B$50:$O$72,13,FALSE)*'Building Breakdown'!$H61*'Building Breakdown'!$I61/168</f>
        <v>0</v>
      </c>
      <c r="AI45" s="234">
        <f t="shared" si="2"/>
        <v>0</v>
      </c>
      <c r="AJ45" s="234">
        <f>'Building Breakdown'!AW61</f>
        <v>0</v>
      </c>
      <c r="AK45" s="234">
        <f t="shared" si="6"/>
        <v>0</v>
      </c>
      <c r="AL45" s="235">
        <f>IF(EXACT('Fabric Changes'!C45,"Yes"),IF('Building Breakdown'!$D$5="High_Security",(HLOOKUP(G45,'Model Assumptions'!$C$43:$E$45,3,FALSE)*'Building Breakdown'!S61),(HLOOKUP(G45,'Model Assumptions'!$C$43:$E$45,2,FALSE)*'Building Breakdown'!S61)),0)</f>
        <v>0</v>
      </c>
      <c r="AM45" s="236">
        <f>IF(EXACT('Fabric Changes'!D45,"Yes"),IF('Building Breakdown'!$D$5="High_Security",('Model Assumptions'!$G$45*'Building Breakdown'!T61),('Model Assumptions'!$G$44*'Building Breakdown'!T61)),0)</f>
        <v>0</v>
      </c>
      <c r="AN45" s="237">
        <f>IF(EXACT('Fabric Changes'!E45,"Yes"),IF('Building Breakdown'!$D$5="High_Security",(HLOOKUP(F45,'Model Assumptions'!C$43:K$45,3,FALSE)*'Building Breakdown'!U61),(HLOOKUP(F45,'Model Assumptions'!C$43:K$45,2,FALSE)*'Building Breakdown'!U61)),0)</f>
        <v>0</v>
      </c>
      <c r="AO45" s="238">
        <f t="shared" si="3"/>
        <v>0</v>
      </c>
      <c r="AP45" s="238">
        <f>IF('Building Breakdown'!$F61='Fabric Changes'!$AP$6,$AK45*'Building Breakdown'!$D$8,0)</f>
        <v>0</v>
      </c>
      <c r="AQ45" s="285">
        <f t="shared" si="1"/>
        <v>0</v>
      </c>
      <c r="AR45" s="287">
        <f>IF($AP45=0,0,$AK45*VLOOKUP('Building Breakdown'!$E$8,'Emission factors'!$C$4:$D$8,2,FALSE))</f>
        <v>0</v>
      </c>
      <c r="AS45" s="238">
        <f>IF('Building Breakdown'!$F61='Fabric Changes'!$AS$6,$AK45*'Building Breakdown'!$D$9,0)</f>
        <v>0</v>
      </c>
      <c r="AT45" s="285">
        <f t="shared" si="4"/>
        <v>0</v>
      </c>
      <c r="AU45" s="287">
        <f>IF($AS45=0,0,$AK45*VLOOKUP('Building Breakdown'!$E$9,'Emission factors'!$C$4:$D$8,2,FALSE))</f>
        <v>0</v>
      </c>
      <c r="AV45" s="238">
        <f>IF('Building Breakdown'!$F61='Fabric Changes'!$AV$6,$AK45*'Building Breakdown'!$D$10,0)</f>
        <v>0</v>
      </c>
      <c r="AW45" s="285">
        <f t="shared" si="5"/>
        <v>0</v>
      </c>
      <c r="AX45" s="287">
        <f>IF($AV45=0,0,$AK45*VLOOKUP('Building Breakdown'!$E$10,'Emission factors'!$C$4:$D$8,2,FALSE))</f>
        <v>0</v>
      </c>
      <c r="AY45" s="169"/>
    </row>
    <row r="46" spans="2:51" x14ac:dyDescent="0.3">
      <c r="B46" s="226" t="str">
        <f>IF('Building Breakdown'!C62="","",'Building Breakdown'!C62)</f>
        <v/>
      </c>
      <c r="C46" s="106"/>
      <c r="D46" s="106"/>
      <c r="E46" s="106"/>
      <c r="F46" s="106"/>
      <c r="G46" s="106"/>
      <c r="H46" s="177">
        <f>MIN(IF(EXACT('Fabric Changes'!C46,"Yes"),'Model Assumptions'!$B$21,'Building Breakdown'!V62),'Building Breakdown'!V62)</f>
        <v>0</v>
      </c>
      <c r="I46" s="178">
        <f>MIN(IF(EXACT('Fabric Changes'!D46,"Yes"),'Model Assumptions'!$D$21,'Building Breakdown'!W62),'Building Breakdown'!W62)</f>
        <v>0</v>
      </c>
      <c r="J46" s="182">
        <f>MIN(IF(EXACT('Fabric Changes'!E46,"Yes"),'Model Assumptions'!$E$21,'Building Breakdown'!X62),'Building Breakdown'!X62)</f>
        <v>0</v>
      </c>
      <c r="K46" s="177">
        <f>(((('Building Breakdown'!$S62*$H46)+('Building Breakdown'!$T62*$I46)+('Building Breakdown'!$U62*$J46))*('Building Breakdown'!$G62-(VLOOKUP('Building Breakdown'!$D$7,'Model Assumptions'!$B$50:$O$72,2,FALSE))))/1000)*'Building Breakdown'!$E62</f>
        <v>0</v>
      </c>
      <c r="L46" s="178">
        <f>(((('Building Breakdown'!$S62*$H46)+('Building Breakdown'!$T62*$I46)+('Building Breakdown'!$U62*$J46))*('Building Breakdown'!$G62-(VLOOKUP('Building Breakdown'!$D$7,'Model Assumptions'!$B$50:$O$72,3,FALSE))))/1000)*'Building Breakdown'!$E62</f>
        <v>0</v>
      </c>
      <c r="M46" s="178">
        <f>(((('Building Breakdown'!$S62*$H46)+('Building Breakdown'!$T62*$I46)+('Building Breakdown'!$U62*$J46))*('Building Breakdown'!$G62-(VLOOKUP('Building Breakdown'!$D$7,'Model Assumptions'!$B$50:$O$72,4,FALSE))))/1000)*'Building Breakdown'!$E62</f>
        <v>0</v>
      </c>
      <c r="N46" s="178">
        <f>(((('Building Breakdown'!$S62*$H46)+('Building Breakdown'!$T62*$I46)+('Building Breakdown'!$U62*$J46))*('Building Breakdown'!$G62-(VLOOKUP('Building Breakdown'!$D$7,'Model Assumptions'!$B$50:$O$72,5,FALSE))))/1000)*'Building Breakdown'!$E62</f>
        <v>0</v>
      </c>
      <c r="O46" s="178">
        <f>(((('Building Breakdown'!$S62*$H46)+('Building Breakdown'!$T62*$I46)+('Building Breakdown'!$U62*$J46))*('Building Breakdown'!$G62-(VLOOKUP('Building Breakdown'!$D$7,'Model Assumptions'!$B$50:$O$72,6,FALSE))))/1000)*'Building Breakdown'!$E62</f>
        <v>0</v>
      </c>
      <c r="P46" s="178">
        <f>(((('Building Breakdown'!$S62*$H46)+('Building Breakdown'!$T62*$I46)+('Building Breakdown'!$U62*$J46))*('Building Breakdown'!$G62-(VLOOKUP('Building Breakdown'!$D$7,'Model Assumptions'!$B$50:$O$72,7,FALSE))))/1000)*'Building Breakdown'!$E62</f>
        <v>0</v>
      </c>
      <c r="Q46" s="178">
        <f>(((('Building Breakdown'!$S62*$H46)+('Building Breakdown'!$T62*$I46)+('Building Breakdown'!$U62*$J46))*('Building Breakdown'!$G62-(VLOOKUP('Building Breakdown'!$D$7,'Model Assumptions'!$B$50:$O$72,8,FALSE))))/1000)*'Building Breakdown'!$E62</f>
        <v>0</v>
      </c>
      <c r="R46" s="178">
        <f>(((('Building Breakdown'!$S62*$H46)+('Building Breakdown'!$T62*$I46)+('Building Breakdown'!$U62*$J46))*('Building Breakdown'!$G62-(VLOOKUP('Building Breakdown'!$D$7,'Model Assumptions'!$B$50:$O$72,9,FALSE))))/1000)*'Building Breakdown'!$E62</f>
        <v>0</v>
      </c>
      <c r="S46" s="178">
        <f>(((('Building Breakdown'!$S62*$H46)+('Building Breakdown'!$T62*$I46)+('Building Breakdown'!$U62*$J46))*('Building Breakdown'!$G62-(VLOOKUP('Building Breakdown'!$D$7,'Model Assumptions'!$B$50:$O$72,10,FALSE))))/1000)*'Building Breakdown'!$E62</f>
        <v>0</v>
      </c>
      <c r="T46" s="178">
        <f>(((('Building Breakdown'!$S62*$H46)+('Building Breakdown'!$T62*$I46)+('Building Breakdown'!$U62*$J46))*('Building Breakdown'!$G62-(VLOOKUP('Building Breakdown'!$D$7,'Model Assumptions'!$B$50:$O$72,11,FALSE))))/1000)*'Building Breakdown'!$E62</f>
        <v>0</v>
      </c>
      <c r="U46" s="178">
        <f>(((('Building Breakdown'!$S62*$H46)+('Building Breakdown'!$T62*$I46)+('Building Breakdown'!$U62*$J46))*('Building Breakdown'!$G62-(VLOOKUP('Building Breakdown'!$D$7,'Model Assumptions'!$B$50:$O$72,12,FALSE))))/1000)*'Building Breakdown'!$E62</f>
        <v>0</v>
      </c>
      <c r="V46" s="179">
        <f>(((('Building Breakdown'!$S62*$H46)+('Building Breakdown'!$T62*$I46)+('Building Breakdown'!$U62*$J46))*('Building Breakdown'!$G62-(VLOOKUP('Building Breakdown'!$D$7,'Model Assumptions'!$B$50:$O$72,13,FALSE))))/1000)*'Building Breakdown'!$E62</f>
        <v>0</v>
      </c>
      <c r="W46" s="177">
        <f>K46*VLOOKUP("Hours",'Model Assumptions'!$B$50:$O$72,2,FALSE)*'Building Breakdown'!$H62*'Building Breakdown'!$I62/168</f>
        <v>0</v>
      </c>
      <c r="X46" s="178">
        <f>L46*VLOOKUP("Hours",'Model Assumptions'!$B$50:$O$72,3,FALSE)*'Building Breakdown'!$H62*'Building Breakdown'!$I62/168</f>
        <v>0</v>
      </c>
      <c r="Y46" s="178">
        <f>M46*VLOOKUP("Hours",'Model Assumptions'!$B$50:$O$72,4,FALSE)*'Building Breakdown'!$H62*'Building Breakdown'!$I62/168</f>
        <v>0</v>
      </c>
      <c r="Z46" s="178">
        <f>N46*VLOOKUP("Hours",'Model Assumptions'!$B$50:$O$72,5,FALSE)*'Building Breakdown'!$H62*'Building Breakdown'!$I62/168</f>
        <v>0</v>
      </c>
      <c r="AA46" s="178">
        <f>O46*VLOOKUP("Hours",'Model Assumptions'!$B$50:$O$72,6,FALSE)*'Building Breakdown'!$H62*'Building Breakdown'!$I62/168</f>
        <v>0</v>
      </c>
      <c r="AB46" s="178">
        <f>P46*VLOOKUP("Hours",'Model Assumptions'!$B$50:$O$72,7,FALSE)*'Building Breakdown'!$H62*'Building Breakdown'!$I62/168</f>
        <v>0</v>
      </c>
      <c r="AC46" s="178">
        <f>Q46*VLOOKUP("Hours",'Model Assumptions'!$B$50:$O$72,8,FALSE)*'Building Breakdown'!$H62*'Building Breakdown'!$I62/168</f>
        <v>0</v>
      </c>
      <c r="AD46" s="178">
        <f>R46*VLOOKUP("Hours",'Model Assumptions'!$B$50:$O$72,9,FALSE)*'Building Breakdown'!$H62*'Building Breakdown'!$I62/168</f>
        <v>0</v>
      </c>
      <c r="AE46" s="178">
        <f>S46*VLOOKUP("Hours",'Model Assumptions'!$B$50:$O$72,10,FALSE)*'Building Breakdown'!$H62*'Building Breakdown'!$I62/168</f>
        <v>0</v>
      </c>
      <c r="AF46" s="178">
        <f>T46*VLOOKUP("Hours",'Model Assumptions'!$B$50:$O$72,11,FALSE)*'Building Breakdown'!$H62*'Building Breakdown'!$I62/168</f>
        <v>0</v>
      </c>
      <c r="AG46" s="178">
        <f>U46*VLOOKUP("Hours",'Model Assumptions'!$B$50:$O$72,12,FALSE)*'Building Breakdown'!$H62*'Building Breakdown'!$I62/168</f>
        <v>0</v>
      </c>
      <c r="AH46" s="179">
        <f>V46*VLOOKUP("Hours",'Model Assumptions'!$B$50:$O$72,13,FALSE)*'Building Breakdown'!$H62*'Building Breakdown'!$I62/168</f>
        <v>0</v>
      </c>
      <c r="AI46" s="234">
        <f t="shared" si="2"/>
        <v>0</v>
      </c>
      <c r="AJ46" s="234">
        <f>'Building Breakdown'!AW62</f>
        <v>0</v>
      </c>
      <c r="AK46" s="234">
        <f t="shared" si="6"/>
        <v>0</v>
      </c>
      <c r="AL46" s="235">
        <f>IF(EXACT('Fabric Changes'!C46,"Yes"),IF('Building Breakdown'!$D$5="High_Security",(HLOOKUP(G46,'Model Assumptions'!$C$43:$E$45,3,FALSE)*'Building Breakdown'!S62),(HLOOKUP(G46,'Model Assumptions'!$C$43:$E$45,2,FALSE)*'Building Breakdown'!S62)),0)</f>
        <v>0</v>
      </c>
      <c r="AM46" s="236">
        <f>IF(EXACT('Fabric Changes'!D46,"Yes"),IF('Building Breakdown'!$D$5="High_Security",('Model Assumptions'!$G$45*'Building Breakdown'!T62),('Model Assumptions'!$G$44*'Building Breakdown'!T62)),0)</f>
        <v>0</v>
      </c>
      <c r="AN46" s="237">
        <f>IF(EXACT('Fabric Changes'!E46,"Yes"),IF('Building Breakdown'!$D$5="High_Security",(HLOOKUP(F46,'Model Assumptions'!C$43:K$45,3,FALSE)*'Building Breakdown'!U62),(HLOOKUP(F46,'Model Assumptions'!C$43:K$45,2,FALSE)*'Building Breakdown'!U62)),0)</f>
        <v>0</v>
      </c>
      <c r="AO46" s="238">
        <f t="shared" si="3"/>
        <v>0</v>
      </c>
      <c r="AP46" s="238">
        <f>IF('Building Breakdown'!$F62='Fabric Changes'!$AP$6,$AK46*'Building Breakdown'!$D$8,0)</f>
        <v>0</v>
      </c>
      <c r="AQ46" s="285">
        <f t="shared" si="1"/>
        <v>0</v>
      </c>
      <c r="AR46" s="287">
        <f>IF($AP46=0,0,$AK46*VLOOKUP('Building Breakdown'!$E$8,'Emission factors'!$C$4:$D$8,2,FALSE))</f>
        <v>0</v>
      </c>
      <c r="AS46" s="238">
        <f>IF('Building Breakdown'!$F62='Fabric Changes'!$AS$6,$AK46*'Building Breakdown'!$D$9,0)</f>
        <v>0</v>
      </c>
      <c r="AT46" s="285">
        <f t="shared" si="4"/>
        <v>0</v>
      </c>
      <c r="AU46" s="287">
        <f>IF($AS46=0,0,$AK46*VLOOKUP('Building Breakdown'!$E$9,'Emission factors'!$C$4:$D$8,2,FALSE))</f>
        <v>0</v>
      </c>
      <c r="AV46" s="238">
        <f>IF('Building Breakdown'!$F62='Fabric Changes'!$AV$6,$AK46*'Building Breakdown'!$D$10,0)</f>
        <v>0</v>
      </c>
      <c r="AW46" s="285">
        <f t="shared" si="5"/>
        <v>0</v>
      </c>
      <c r="AX46" s="287">
        <f>IF($AV46=0,0,$AK46*VLOOKUP('Building Breakdown'!$E$10,'Emission factors'!$C$4:$D$8,2,FALSE))</f>
        <v>0</v>
      </c>
      <c r="AY46" s="169"/>
    </row>
    <row r="47" spans="2:51" x14ac:dyDescent="0.3">
      <c r="B47" s="226" t="str">
        <f>IF('Building Breakdown'!C63="","",'Building Breakdown'!C63)</f>
        <v/>
      </c>
      <c r="C47" s="106"/>
      <c r="D47" s="106"/>
      <c r="E47" s="106"/>
      <c r="F47" s="106"/>
      <c r="G47" s="106"/>
      <c r="H47" s="177">
        <f>MIN(IF(EXACT('Fabric Changes'!C47,"Yes"),'Model Assumptions'!$B$21,'Building Breakdown'!V63),'Building Breakdown'!V63)</f>
        <v>0</v>
      </c>
      <c r="I47" s="178">
        <f>MIN(IF(EXACT('Fabric Changes'!D47,"Yes"),'Model Assumptions'!$D$21,'Building Breakdown'!W63),'Building Breakdown'!W63)</f>
        <v>0</v>
      </c>
      <c r="J47" s="182">
        <f>MIN(IF(EXACT('Fabric Changes'!E47,"Yes"),'Model Assumptions'!$E$21,'Building Breakdown'!X63),'Building Breakdown'!X63)</f>
        <v>0</v>
      </c>
      <c r="K47" s="177">
        <f>(((('Building Breakdown'!$S63*$H47)+('Building Breakdown'!$T63*$I47)+('Building Breakdown'!$U63*$J47))*('Building Breakdown'!$G63-(VLOOKUP('Building Breakdown'!$D$7,'Model Assumptions'!$B$50:$O$72,2,FALSE))))/1000)*'Building Breakdown'!$E63</f>
        <v>0</v>
      </c>
      <c r="L47" s="178">
        <f>(((('Building Breakdown'!$S63*$H47)+('Building Breakdown'!$T63*$I47)+('Building Breakdown'!$U63*$J47))*('Building Breakdown'!$G63-(VLOOKUP('Building Breakdown'!$D$7,'Model Assumptions'!$B$50:$O$72,3,FALSE))))/1000)*'Building Breakdown'!$E63</f>
        <v>0</v>
      </c>
      <c r="M47" s="178">
        <f>(((('Building Breakdown'!$S63*$H47)+('Building Breakdown'!$T63*$I47)+('Building Breakdown'!$U63*$J47))*('Building Breakdown'!$G63-(VLOOKUP('Building Breakdown'!$D$7,'Model Assumptions'!$B$50:$O$72,4,FALSE))))/1000)*'Building Breakdown'!$E63</f>
        <v>0</v>
      </c>
      <c r="N47" s="178">
        <f>(((('Building Breakdown'!$S63*$H47)+('Building Breakdown'!$T63*$I47)+('Building Breakdown'!$U63*$J47))*('Building Breakdown'!$G63-(VLOOKUP('Building Breakdown'!$D$7,'Model Assumptions'!$B$50:$O$72,5,FALSE))))/1000)*'Building Breakdown'!$E63</f>
        <v>0</v>
      </c>
      <c r="O47" s="178">
        <f>(((('Building Breakdown'!$S63*$H47)+('Building Breakdown'!$T63*$I47)+('Building Breakdown'!$U63*$J47))*('Building Breakdown'!$G63-(VLOOKUP('Building Breakdown'!$D$7,'Model Assumptions'!$B$50:$O$72,6,FALSE))))/1000)*'Building Breakdown'!$E63</f>
        <v>0</v>
      </c>
      <c r="P47" s="178">
        <f>(((('Building Breakdown'!$S63*$H47)+('Building Breakdown'!$T63*$I47)+('Building Breakdown'!$U63*$J47))*('Building Breakdown'!$G63-(VLOOKUP('Building Breakdown'!$D$7,'Model Assumptions'!$B$50:$O$72,7,FALSE))))/1000)*'Building Breakdown'!$E63</f>
        <v>0</v>
      </c>
      <c r="Q47" s="178">
        <f>(((('Building Breakdown'!$S63*$H47)+('Building Breakdown'!$T63*$I47)+('Building Breakdown'!$U63*$J47))*('Building Breakdown'!$G63-(VLOOKUP('Building Breakdown'!$D$7,'Model Assumptions'!$B$50:$O$72,8,FALSE))))/1000)*'Building Breakdown'!$E63</f>
        <v>0</v>
      </c>
      <c r="R47" s="178">
        <f>(((('Building Breakdown'!$S63*$H47)+('Building Breakdown'!$T63*$I47)+('Building Breakdown'!$U63*$J47))*('Building Breakdown'!$G63-(VLOOKUP('Building Breakdown'!$D$7,'Model Assumptions'!$B$50:$O$72,9,FALSE))))/1000)*'Building Breakdown'!$E63</f>
        <v>0</v>
      </c>
      <c r="S47" s="178">
        <f>(((('Building Breakdown'!$S63*$H47)+('Building Breakdown'!$T63*$I47)+('Building Breakdown'!$U63*$J47))*('Building Breakdown'!$G63-(VLOOKUP('Building Breakdown'!$D$7,'Model Assumptions'!$B$50:$O$72,10,FALSE))))/1000)*'Building Breakdown'!$E63</f>
        <v>0</v>
      </c>
      <c r="T47" s="178">
        <f>(((('Building Breakdown'!$S63*$H47)+('Building Breakdown'!$T63*$I47)+('Building Breakdown'!$U63*$J47))*('Building Breakdown'!$G63-(VLOOKUP('Building Breakdown'!$D$7,'Model Assumptions'!$B$50:$O$72,11,FALSE))))/1000)*'Building Breakdown'!$E63</f>
        <v>0</v>
      </c>
      <c r="U47" s="178">
        <f>(((('Building Breakdown'!$S63*$H47)+('Building Breakdown'!$T63*$I47)+('Building Breakdown'!$U63*$J47))*('Building Breakdown'!$G63-(VLOOKUP('Building Breakdown'!$D$7,'Model Assumptions'!$B$50:$O$72,12,FALSE))))/1000)*'Building Breakdown'!$E63</f>
        <v>0</v>
      </c>
      <c r="V47" s="179">
        <f>(((('Building Breakdown'!$S63*$H47)+('Building Breakdown'!$T63*$I47)+('Building Breakdown'!$U63*$J47))*('Building Breakdown'!$G63-(VLOOKUP('Building Breakdown'!$D$7,'Model Assumptions'!$B$50:$O$72,13,FALSE))))/1000)*'Building Breakdown'!$E63</f>
        <v>0</v>
      </c>
      <c r="W47" s="177">
        <f>K47*VLOOKUP("Hours",'Model Assumptions'!$B$50:$O$72,2,FALSE)*'Building Breakdown'!$H63*'Building Breakdown'!$I63/168</f>
        <v>0</v>
      </c>
      <c r="X47" s="178">
        <f>L47*VLOOKUP("Hours",'Model Assumptions'!$B$50:$O$72,3,FALSE)*'Building Breakdown'!$H63*'Building Breakdown'!$I63/168</f>
        <v>0</v>
      </c>
      <c r="Y47" s="178">
        <f>M47*VLOOKUP("Hours",'Model Assumptions'!$B$50:$O$72,4,FALSE)*'Building Breakdown'!$H63*'Building Breakdown'!$I63/168</f>
        <v>0</v>
      </c>
      <c r="Z47" s="178">
        <f>N47*VLOOKUP("Hours",'Model Assumptions'!$B$50:$O$72,5,FALSE)*'Building Breakdown'!$H63*'Building Breakdown'!$I63/168</f>
        <v>0</v>
      </c>
      <c r="AA47" s="178">
        <f>O47*VLOOKUP("Hours",'Model Assumptions'!$B$50:$O$72,6,FALSE)*'Building Breakdown'!$H63*'Building Breakdown'!$I63/168</f>
        <v>0</v>
      </c>
      <c r="AB47" s="178">
        <f>P47*VLOOKUP("Hours",'Model Assumptions'!$B$50:$O$72,7,FALSE)*'Building Breakdown'!$H63*'Building Breakdown'!$I63/168</f>
        <v>0</v>
      </c>
      <c r="AC47" s="178">
        <f>Q47*VLOOKUP("Hours",'Model Assumptions'!$B$50:$O$72,8,FALSE)*'Building Breakdown'!$H63*'Building Breakdown'!$I63/168</f>
        <v>0</v>
      </c>
      <c r="AD47" s="178">
        <f>R47*VLOOKUP("Hours",'Model Assumptions'!$B$50:$O$72,9,FALSE)*'Building Breakdown'!$H63*'Building Breakdown'!$I63/168</f>
        <v>0</v>
      </c>
      <c r="AE47" s="178">
        <f>S47*VLOOKUP("Hours",'Model Assumptions'!$B$50:$O$72,10,FALSE)*'Building Breakdown'!$H63*'Building Breakdown'!$I63/168</f>
        <v>0</v>
      </c>
      <c r="AF47" s="178">
        <f>T47*VLOOKUP("Hours",'Model Assumptions'!$B$50:$O$72,11,FALSE)*'Building Breakdown'!$H63*'Building Breakdown'!$I63/168</f>
        <v>0</v>
      </c>
      <c r="AG47" s="178">
        <f>U47*VLOOKUP("Hours",'Model Assumptions'!$B$50:$O$72,12,FALSE)*'Building Breakdown'!$H63*'Building Breakdown'!$I63/168</f>
        <v>0</v>
      </c>
      <c r="AH47" s="179">
        <f>V47*VLOOKUP("Hours",'Model Assumptions'!$B$50:$O$72,13,FALSE)*'Building Breakdown'!$H63*'Building Breakdown'!$I63/168</f>
        <v>0</v>
      </c>
      <c r="AI47" s="234">
        <f t="shared" si="2"/>
        <v>0</v>
      </c>
      <c r="AJ47" s="234">
        <f>'Building Breakdown'!AW63</f>
        <v>0</v>
      </c>
      <c r="AK47" s="234">
        <f t="shared" si="6"/>
        <v>0</v>
      </c>
      <c r="AL47" s="235">
        <f>IF(EXACT('Fabric Changes'!C47,"Yes"),IF('Building Breakdown'!$D$5="High_Security",(HLOOKUP(G47,'Model Assumptions'!$C$43:$E$45,3,FALSE)*'Building Breakdown'!S63),(HLOOKUP(G47,'Model Assumptions'!$C$43:$E$45,2,FALSE)*'Building Breakdown'!S63)),0)</f>
        <v>0</v>
      </c>
      <c r="AM47" s="236">
        <f>IF(EXACT('Fabric Changes'!D47,"Yes"),IF('Building Breakdown'!$D$5="High_Security",('Model Assumptions'!$G$45*'Building Breakdown'!T63),('Model Assumptions'!$G$44*'Building Breakdown'!T63)),0)</f>
        <v>0</v>
      </c>
      <c r="AN47" s="237">
        <f>IF(EXACT('Fabric Changes'!E47,"Yes"),IF('Building Breakdown'!$D$5="High_Security",(HLOOKUP(F47,'Model Assumptions'!C$43:K$45,3,FALSE)*'Building Breakdown'!U63),(HLOOKUP(F47,'Model Assumptions'!C$43:K$45,2,FALSE)*'Building Breakdown'!U63)),0)</f>
        <v>0</v>
      </c>
      <c r="AO47" s="238">
        <f t="shared" si="3"/>
        <v>0</v>
      </c>
      <c r="AP47" s="238">
        <f>IF('Building Breakdown'!$F63='Fabric Changes'!$AP$6,$AK47*'Building Breakdown'!$D$8,0)</f>
        <v>0</v>
      </c>
      <c r="AQ47" s="285">
        <f t="shared" si="1"/>
        <v>0</v>
      </c>
      <c r="AR47" s="287">
        <f>IF($AP47=0,0,$AK47*VLOOKUP('Building Breakdown'!$E$8,'Emission factors'!$C$4:$D$8,2,FALSE))</f>
        <v>0</v>
      </c>
      <c r="AS47" s="238">
        <f>IF('Building Breakdown'!$F63='Fabric Changes'!$AS$6,$AK47*'Building Breakdown'!$D$9,0)</f>
        <v>0</v>
      </c>
      <c r="AT47" s="285">
        <f t="shared" si="4"/>
        <v>0</v>
      </c>
      <c r="AU47" s="287">
        <f>IF($AS47=0,0,$AK47*VLOOKUP('Building Breakdown'!$E$9,'Emission factors'!$C$4:$D$8,2,FALSE))</f>
        <v>0</v>
      </c>
      <c r="AV47" s="238">
        <f>IF('Building Breakdown'!$F63='Fabric Changes'!$AV$6,$AK47*'Building Breakdown'!$D$10,0)</f>
        <v>0</v>
      </c>
      <c r="AW47" s="285">
        <f t="shared" si="5"/>
        <v>0</v>
      </c>
      <c r="AX47" s="287">
        <f>IF($AV47=0,0,$AK47*VLOOKUP('Building Breakdown'!$E$10,'Emission factors'!$C$4:$D$8,2,FALSE))</f>
        <v>0</v>
      </c>
      <c r="AY47" s="169"/>
    </row>
    <row r="48" spans="2:51" x14ac:dyDescent="0.3">
      <c r="B48" s="226" t="str">
        <f>IF('Building Breakdown'!C64="","",'Building Breakdown'!C64)</f>
        <v/>
      </c>
      <c r="C48" s="106"/>
      <c r="D48" s="106"/>
      <c r="E48" s="106"/>
      <c r="F48" s="106"/>
      <c r="G48" s="106"/>
      <c r="H48" s="177">
        <f>MIN(IF(EXACT('Fabric Changes'!C48,"Yes"),'Model Assumptions'!$B$21,'Building Breakdown'!V64),'Building Breakdown'!V64)</f>
        <v>0</v>
      </c>
      <c r="I48" s="178">
        <f>MIN(IF(EXACT('Fabric Changes'!D48,"Yes"),'Model Assumptions'!$D$21,'Building Breakdown'!W64),'Building Breakdown'!W64)</f>
        <v>0</v>
      </c>
      <c r="J48" s="182">
        <f>MIN(IF(EXACT('Fabric Changes'!E48,"Yes"),'Model Assumptions'!$E$21,'Building Breakdown'!X64),'Building Breakdown'!X64)</f>
        <v>0</v>
      </c>
      <c r="K48" s="177">
        <f>(((('Building Breakdown'!$S64*$H48)+('Building Breakdown'!$T64*$I48)+('Building Breakdown'!$U64*$J48))*('Building Breakdown'!$G64-(VLOOKUP('Building Breakdown'!$D$7,'Model Assumptions'!$B$50:$O$72,2,FALSE))))/1000)*'Building Breakdown'!$E64</f>
        <v>0</v>
      </c>
      <c r="L48" s="178">
        <f>(((('Building Breakdown'!$S64*$H48)+('Building Breakdown'!$T64*$I48)+('Building Breakdown'!$U64*$J48))*('Building Breakdown'!$G64-(VLOOKUP('Building Breakdown'!$D$7,'Model Assumptions'!$B$50:$O$72,3,FALSE))))/1000)*'Building Breakdown'!$E64</f>
        <v>0</v>
      </c>
      <c r="M48" s="178">
        <f>(((('Building Breakdown'!$S64*$H48)+('Building Breakdown'!$T64*$I48)+('Building Breakdown'!$U64*$J48))*('Building Breakdown'!$G64-(VLOOKUP('Building Breakdown'!$D$7,'Model Assumptions'!$B$50:$O$72,4,FALSE))))/1000)*'Building Breakdown'!$E64</f>
        <v>0</v>
      </c>
      <c r="N48" s="178">
        <f>(((('Building Breakdown'!$S64*$H48)+('Building Breakdown'!$T64*$I48)+('Building Breakdown'!$U64*$J48))*('Building Breakdown'!$G64-(VLOOKUP('Building Breakdown'!$D$7,'Model Assumptions'!$B$50:$O$72,5,FALSE))))/1000)*'Building Breakdown'!$E64</f>
        <v>0</v>
      </c>
      <c r="O48" s="178">
        <f>(((('Building Breakdown'!$S64*$H48)+('Building Breakdown'!$T64*$I48)+('Building Breakdown'!$U64*$J48))*('Building Breakdown'!$G64-(VLOOKUP('Building Breakdown'!$D$7,'Model Assumptions'!$B$50:$O$72,6,FALSE))))/1000)*'Building Breakdown'!$E64</f>
        <v>0</v>
      </c>
      <c r="P48" s="178">
        <f>(((('Building Breakdown'!$S64*$H48)+('Building Breakdown'!$T64*$I48)+('Building Breakdown'!$U64*$J48))*('Building Breakdown'!$G64-(VLOOKUP('Building Breakdown'!$D$7,'Model Assumptions'!$B$50:$O$72,7,FALSE))))/1000)*'Building Breakdown'!$E64</f>
        <v>0</v>
      </c>
      <c r="Q48" s="178">
        <f>(((('Building Breakdown'!$S64*$H48)+('Building Breakdown'!$T64*$I48)+('Building Breakdown'!$U64*$J48))*('Building Breakdown'!$G64-(VLOOKUP('Building Breakdown'!$D$7,'Model Assumptions'!$B$50:$O$72,8,FALSE))))/1000)*'Building Breakdown'!$E64</f>
        <v>0</v>
      </c>
      <c r="R48" s="178">
        <f>(((('Building Breakdown'!$S64*$H48)+('Building Breakdown'!$T64*$I48)+('Building Breakdown'!$U64*$J48))*('Building Breakdown'!$G64-(VLOOKUP('Building Breakdown'!$D$7,'Model Assumptions'!$B$50:$O$72,9,FALSE))))/1000)*'Building Breakdown'!$E64</f>
        <v>0</v>
      </c>
      <c r="S48" s="178">
        <f>(((('Building Breakdown'!$S64*$H48)+('Building Breakdown'!$T64*$I48)+('Building Breakdown'!$U64*$J48))*('Building Breakdown'!$G64-(VLOOKUP('Building Breakdown'!$D$7,'Model Assumptions'!$B$50:$O$72,10,FALSE))))/1000)*'Building Breakdown'!$E64</f>
        <v>0</v>
      </c>
      <c r="T48" s="178">
        <f>(((('Building Breakdown'!$S64*$H48)+('Building Breakdown'!$T64*$I48)+('Building Breakdown'!$U64*$J48))*('Building Breakdown'!$G64-(VLOOKUP('Building Breakdown'!$D$7,'Model Assumptions'!$B$50:$O$72,11,FALSE))))/1000)*'Building Breakdown'!$E64</f>
        <v>0</v>
      </c>
      <c r="U48" s="178">
        <f>(((('Building Breakdown'!$S64*$H48)+('Building Breakdown'!$T64*$I48)+('Building Breakdown'!$U64*$J48))*('Building Breakdown'!$G64-(VLOOKUP('Building Breakdown'!$D$7,'Model Assumptions'!$B$50:$O$72,12,FALSE))))/1000)*'Building Breakdown'!$E64</f>
        <v>0</v>
      </c>
      <c r="V48" s="179">
        <f>(((('Building Breakdown'!$S64*$H48)+('Building Breakdown'!$T64*$I48)+('Building Breakdown'!$U64*$J48))*('Building Breakdown'!$G64-(VLOOKUP('Building Breakdown'!$D$7,'Model Assumptions'!$B$50:$O$72,13,FALSE))))/1000)*'Building Breakdown'!$E64</f>
        <v>0</v>
      </c>
      <c r="W48" s="177">
        <f>K48*VLOOKUP("Hours",'Model Assumptions'!$B$50:$O$72,2,FALSE)*'Building Breakdown'!$H64*'Building Breakdown'!$I64/168</f>
        <v>0</v>
      </c>
      <c r="X48" s="178">
        <f>L48*VLOOKUP("Hours",'Model Assumptions'!$B$50:$O$72,3,FALSE)*'Building Breakdown'!$H64*'Building Breakdown'!$I64/168</f>
        <v>0</v>
      </c>
      <c r="Y48" s="178">
        <f>M48*VLOOKUP("Hours",'Model Assumptions'!$B$50:$O$72,4,FALSE)*'Building Breakdown'!$H64*'Building Breakdown'!$I64/168</f>
        <v>0</v>
      </c>
      <c r="Z48" s="178">
        <f>N48*VLOOKUP("Hours",'Model Assumptions'!$B$50:$O$72,5,FALSE)*'Building Breakdown'!$H64*'Building Breakdown'!$I64/168</f>
        <v>0</v>
      </c>
      <c r="AA48" s="178">
        <f>O48*VLOOKUP("Hours",'Model Assumptions'!$B$50:$O$72,6,FALSE)*'Building Breakdown'!$H64*'Building Breakdown'!$I64/168</f>
        <v>0</v>
      </c>
      <c r="AB48" s="178">
        <f>P48*VLOOKUP("Hours",'Model Assumptions'!$B$50:$O$72,7,FALSE)*'Building Breakdown'!$H64*'Building Breakdown'!$I64/168</f>
        <v>0</v>
      </c>
      <c r="AC48" s="178">
        <f>Q48*VLOOKUP("Hours",'Model Assumptions'!$B$50:$O$72,8,FALSE)*'Building Breakdown'!$H64*'Building Breakdown'!$I64/168</f>
        <v>0</v>
      </c>
      <c r="AD48" s="178">
        <f>R48*VLOOKUP("Hours",'Model Assumptions'!$B$50:$O$72,9,FALSE)*'Building Breakdown'!$H64*'Building Breakdown'!$I64/168</f>
        <v>0</v>
      </c>
      <c r="AE48" s="178">
        <f>S48*VLOOKUP("Hours",'Model Assumptions'!$B$50:$O$72,10,FALSE)*'Building Breakdown'!$H64*'Building Breakdown'!$I64/168</f>
        <v>0</v>
      </c>
      <c r="AF48" s="178">
        <f>T48*VLOOKUP("Hours",'Model Assumptions'!$B$50:$O$72,11,FALSE)*'Building Breakdown'!$H64*'Building Breakdown'!$I64/168</f>
        <v>0</v>
      </c>
      <c r="AG48" s="178">
        <f>U48*VLOOKUP("Hours",'Model Assumptions'!$B$50:$O$72,12,FALSE)*'Building Breakdown'!$H64*'Building Breakdown'!$I64/168</f>
        <v>0</v>
      </c>
      <c r="AH48" s="179">
        <f>V48*VLOOKUP("Hours",'Model Assumptions'!$B$50:$O$72,13,FALSE)*'Building Breakdown'!$H64*'Building Breakdown'!$I64/168</f>
        <v>0</v>
      </c>
      <c r="AI48" s="234">
        <f t="shared" ref="AI48:AI53" si="15">SUM(W48:AH48)</f>
        <v>0</v>
      </c>
      <c r="AJ48" s="234">
        <f>'Building Breakdown'!AW64</f>
        <v>0</v>
      </c>
      <c r="AK48" s="234">
        <f t="shared" si="6"/>
        <v>0</v>
      </c>
      <c r="AL48" s="235">
        <f>IF(EXACT('Fabric Changes'!C48,"Yes"),IF('Building Breakdown'!$D$5="High_Security",(HLOOKUP(G48,'Model Assumptions'!$C$43:$E$45,3,FALSE)*'Building Breakdown'!S64),(HLOOKUP(G48,'Model Assumptions'!$C$43:$E$45,2,FALSE)*'Building Breakdown'!S64)),0)</f>
        <v>0</v>
      </c>
      <c r="AM48" s="236">
        <f>IF(EXACT('Fabric Changes'!D48,"Yes"),IF('Building Breakdown'!$D$5="High_Security",('Model Assumptions'!$G$45*'Building Breakdown'!T64),('Model Assumptions'!$G$44*'Building Breakdown'!T64)),0)</f>
        <v>0</v>
      </c>
      <c r="AN48" s="237">
        <f>IF(EXACT('Fabric Changes'!E48,"Yes"),IF('Building Breakdown'!$D$5="High_Security",(HLOOKUP(F48,'Model Assumptions'!C$43:K$45,3,FALSE)*'Building Breakdown'!U64),(HLOOKUP(F48,'Model Assumptions'!C$43:K$45,2,FALSE)*'Building Breakdown'!U64)),0)</f>
        <v>0</v>
      </c>
      <c r="AO48" s="238">
        <f t="shared" ref="AO48:AO53" si="16">SUM(AL48:AN48)</f>
        <v>0</v>
      </c>
      <c r="AP48" s="238">
        <f>IF('Building Breakdown'!$F64='Fabric Changes'!$AP$6,$AK48*'Building Breakdown'!$D$8,0)</f>
        <v>0</v>
      </c>
      <c r="AQ48" s="285">
        <f t="shared" ref="AQ48:AQ53" si="17">IFERROR($AO48/AP48,0)</f>
        <v>0</v>
      </c>
      <c r="AR48" s="287">
        <f>IF($AP48=0,0,$AK48*VLOOKUP('Building Breakdown'!$E$8,'Emission factors'!$C$4:$D$8,2,FALSE))</f>
        <v>0</v>
      </c>
      <c r="AS48" s="238">
        <f>IF('Building Breakdown'!$F64='Fabric Changes'!$AS$6,$AK48*'Building Breakdown'!$D$9,0)</f>
        <v>0</v>
      </c>
      <c r="AT48" s="285">
        <f t="shared" ref="AT48:AT53" si="18">IFERROR($AO48/AS48,0)</f>
        <v>0</v>
      </c>
      <c r="AU48" s="287">
        <f>IF($AS48=0,0,$AK48*VLOOKUP('Building Breakdown'!$E$9,'Emission factors'!$C$4:$D$8,2,FALSE))</f>
        <v>0</v>
      </c>
      <c r="AV48" s="238">
        <f>IF('Building Breakdown'!$F64='Fabric Changes'!$AV$6,$AK48*'Building Breakdown'!$D$10,0)</f>
        <v>0</v>
      </c>
      <c r="AW48" s="285">
        <f t="shared" si="5"/>
        <v>0</v>
      </c>
      <c r="AX48" s="287">
        <f>IF($AV48=0,0,$AK48*VLOOKUP('Building Breakdown'!$E$10,'Emission factors'!$C$4:$D$8,2,FALSE))</f>
        <v>0</v>
      </c>
      <c r="AY48" s="169"/>
    </row>
    <row r="49" spans="2:51" x14ac:dyDescent="0.3">
      <c r="B49" s="226" t="str">
        <f>IF('Building Breakdown'!C65="","",'Building Breakdown'!C65)</f>
        <v/>
      </c>
      <c r="C49" s="106"/>
      <c r="D49" s="106"/>
      <c r="E49" s="106"/>
      <c r="F49" s="106"/>
      <c r="G49" s="106"/>
      <c r="H49" s="177">
        <f>MIN(IF(EXACT('Fabric Changes'!C49,"Yes"),'Model Assumptions'!$B$21,'Building Breakdown'!V65),'Building Breakdown'!V65)</f>
        <v>0</v>
      </c>
      <c r="I49" s="178">
        <f>MIN(IF(EXACT('Fabric Changes'!D49,"Yes"),'Model Assumptions'!$D$21,'Building Breakdown'!W65),'Building Breakdown'!W65)</f>
        <v>0</v>
      </c>
      <c r="J49" s="182">
        <f>MIN(IF(EXACT('Fabric Changes'!E49,"Yes"),'Model Assumptions'!$E$21,'Building Breakdown'!X65),'Building Breakdown'!X65)</f>
        <v>0</v>
      </c>
      <c r="K49" s="177">
        <f>(((('Building Breakdown'!$S65*$H49)+('Building Breakdown'!$T65*$I49)+('Building Breakdown'!$U65*$J49))*('Building Breakdown'!$G65-(VLOOKUP('Building Breakdown'!$D$7,'Model Assumptions'!$B$50:$O$72,2,FALSE))))/1000)*'Building Breakdown'!$E65</f>
        <v>0</v>
      </c>
      <c r="L49" s="178">
        <f>(((('Building Breakdown'!$S65*$H49)+('Building Breakdown'!$T65*$I49)+('Building Breakdown'!$U65*$J49))*('Building Breakdown'!$G65-(VLOOKUP('Building Breakdown'!$D$7,'Model Assumptions'!$B$50:$O$72,3,FALSE))))/1000)*'Building Breakdown'!$E65</f>
        <v>0</v>
      </c>
      <c r="M49" s="178">
        <f>(((('Building Breakdown'!$S65*$H49)+('Building Breakdown'!$T65*$I49)+('Building Breakdown'!$U65*$J49))*('Building Breakdown'!$G65-(VLOOKUP('Building Breakdown'!$D$7,'Model Assumptions'!$B$50:$O$72,4,FALSE))))/1000)*'Building Breakdown'!$E65</f>
        <v>0</v>
      </c>
      <c r="N49" s="178">
        <f>(((('Building Breakdown'!$S65*$H49)+('Building Breakdown'!$T65*$I49)+('Building Breakdown'!$U65*$J49))*('Building Breakdown'!$G65-(VLOOKUP('Building Breakdown'!$D$7,'Model Assumptions'!$B$50:$O$72,5,FALSE))))/1000)*'Building Breakdown'!$E65</f>
        <v>0</v>
      </c>
      <c r="O49" s="178">
        <f>(((('Building Breakdown'!$S65*$H49)+('Building Breakdown'!$T65*$I49)+('Building Breakdown'!$U65*$J49))*('Building Breakdown'!$G65-(VLOOKUP('Building Breakdown'!$D$7,'Model Assumptions'!$B$50:$O$72,6,FALSE))))/1000)*'Building Breakdown'!$E65</f>
        <v>0</v>
      </c>
      <c r="P49" s="178">
        <f>(((('Building Breakdown'!$S65*$H49)+('Building Breakdown'!$T65*$I49)+('Building Breakdown'!$U65*$J49))*('Building Breakdown'!$G65-(VLOOKUP('Building Breakdown'!$D$7,'Model Assumptions'!$B$50:$O$72,7,FALSE))))/1000)*'Building Breakdown'!$E65</f>
        <v>0</v>
      </c>
      <c r="Q49" s="178">
        <f>(((('Building Breakdown'!$S65*$H49)+('Building Breakdown'!$T65*$I49)+('Building Breakdown'!$U65*$J49))*('Building Breakdown'!$G65-(VLOOKUP('Building Breakdown'!$D$7,'Model Assumptions'!$B$50:$O$72,8,FALSE))))/1000)*'Building Breakdown'!$E65</f>
        <v>0</v>
      </c>
      <c r="R49" s="178">
        <f>(((('Building Breakdown'!$S65*$H49)+('Building Breakdown'!$T65*$I49)+('Building Breakdown'!$U65*$J49))*('Building Breakdown'!$G65-(VLOOKUP('Building Breakdown'!$D$7,'Model Assumptions'!$B$50:$O$72,9,FALSE))))/1000)*'Building Breakdown'!$E65</f>
        <v>0</v>
      </c>
      <c r="S49" s="178">
        <f>(((('Building Breakdown'!$S65*$H49)+('Building Breakdown'!$T65*$I49)+('Building Breakdown'!$U65*$J49))*('Building Breakdown'!$G65-(VLOOKUP('Building Breakdown'!$D$7,'Model Assumptions'!$B$50:$O$72,10,FALSE))))/1000)*'Building Breakdown'!$E65</f>
        <v>0</v>
      </c>
      <c r="T49" s="178">
        <f>(((('Building Breakdown'!$S65*$H49)+('Building Breakdown'!$T65*$I49)+('Building Breakdown'!$U65*$J49))*('Building Breakdown'!$G65-(VLOOKUP('Building Breakdown'!$D$7,'Model Assumptions'!$B$50:$O$72,11,FALSE))))/1000)*'Building Breakdown'!$E65</f>
        <v>0</v>
      </c>
      <c r="U49" s="178">
        <f>(((('Building Breakdown'!$S65*$H49)+('Building Breakdown'!$T65*$I49)+('Building Breakdown'!$U65*$J49))*('Building Breakdown'!$G65-(VLOOKUP('Building Breakdown'!$D$7,'Model Assumptions'!$B$50:$O$72,12,FALSE))))/1000)*'Building Breakdown'!$E65</f>
        <v>0</v>
      </c>
      <c r="V49" s="179">
        <f>(((('Building Breakdown'!$S65*$H49)+('Building Breakdown'!$T65*$I49)+('Building Breakdown'!$U65*$J49))*('Building Breakdown'!$G65-(VLOOKUP('Building Breakdown'!$D$7,'Model Assumptions'!$B$50:$O$72,13,FALSE))))/1000)*'Building Breakdown'!$E65</f>
        <v>0</v>
      </c>
      <c r="W49" s="177">
        <f>K49*VLOOKUP("Hours",'Model Assumptions'!$B$50:$O$72,2,FALSE)*'Building Breakdown'!$H65*'Building Breakdown'!$I65/168</f>
        <v>0</v>
      </c>
      <c r="X49" s="178">
        <f>L49*VLOOKUP("Hours",'Model Assumptions'!$B$50:$O$72,3,FALSE)*'Building Breakdown'!$H65*'Building Breakdown'!$I65/168</f>
        <v>0</v>
      </c>
      <c r="Y49" s="178">
        <f>M49*VLOOKUP("Hours",'Model Assumptions'!$B$50:$O$72,4,FALSE)*'Building Breakdown'!$H65*'Building Breakdown'!$I65/168</f>
        <v>0</v>
      </c>
      <c r="Z49" s="178">
        <f>N49*VLOOKUP("Hours",'Model Assumptions'!$B$50:$O$72,5,FALSE)*'Building Breakdown'!$H65*'Building Breakdown'!$I65/168</f>
        <v>0</v>
      </c>
      <c r="AA49" s="178">
        <f>O49*VLOOKUP("Hours",'Model Assumptions'!$B$50:$O$72,6,FALSE)*'Building Breakdown'!$H65*'Building Breakdown'!$I65/168</f>
        <v>0</v>
      </c>
      <c r="AB49" s="178">
        <f>P49*VLOOKUP("Hours",'Model Assumptions'!$B$50:$O$72,7,FALSE)*'Building Breakdown'!$H65*'Building Breakdown'!$I65/168</f>
        <v>0</v>
      </c>
      <c r="AC49" s="178">
        <f>Q49*VLOOKUP("Hours",'Model Assumptions'!$B$50:$O$72,8,FALSE)*'Building Breakdown'!$H65*'Building Breakdown'!$I65/168</f>
        <v>0</v>
      </c>
      <c r="AD49" s="178">
        <f>R49*VLOOKUP("Hours",'Model Assumptions'!$B$50:$O$72,9,FALSE)*'Building Breakdown'!$H65*'Building Breakdown'!$I65/168</f>
        <v>0</v>
      </c>
      <c r="AE49" s="178">
        <f>S49*VLOOKUP("Hours",'Model Assumptions'!$B$50:$O$72,10,FALSE)*'Building Breakdown'!$H65*'Building Breakdown'!$I65/168</f>
        <v>0</v>
      </c>
      <c r="AF49" s="178">
        <f>T49*VLOOKUP("Hours",'Model Assumptions'!$B$50:$O$72,11,FALSE)*'Building Breakdown'!$H65*'Building Breakdown'!$I65/168</f>
        <v>0</v>
      </c>
      <c r="AG49" s="178">
        <f>U49*VLOOKUP("Hours",'Model Assumptions'!$B$50:$O$72,12,FALSE)*'Building Breakdown'!$H65*'Building Breakdown'!$I65/168</f>
        <v>0</v>
      </c>
      <c r="AH49" s="179">
        <f>V49*VLOOKUP("Hours",'Model Assumptions'!$B$50:$O$72,13,FALSE)*'Building Breakdown'!$H65*'Building Breakdown'!$I65/168</f>
        <v>0</v>
      </c>
      <c r="AI49" s="234">
        <f t="shared" si="15"/>
        <v>0</v>
      </c>
      <c r="AJ49" s="234">
        <f>'Building Breakdown'!AW65</f>
        <v>0</v>
      </c>
      <c r="AK49" s="234">
        <f t="shared" si="6"/>
        <v>0</v>
      </c>
      <c r="AL49" s="235">
        <f>IF(EXACT('Fabric Changes'!C49,"Yes"),IF('Building Breakdown'!$D$5="High_Security",(HLOOKUP(G49,'Model Assumptions'!$C$43:$E$45,3,FALSE)*'Building Breakdown'!S65),(HLOOKUP(G49,'Model Assumptions'!$C$43:$E$45,2,FALSE)*'Building Breakdown'!S65)),0)</f>
        <v>0</v>
      </c>
      <c r="AM49" s="236">
        <f>IF(EXACT('Fabric Changes'!D49,"Yes"),IF('Building Breakdown'!$D$5="High_Security",('Model Assumptions'!$G$45*'Building Breakdown'!T65),('Model Assumptions'!$G$44*'Building Breakdown'!T65)),0)</f>
        <v>0</v>
      </c>
      <c r="AN49" s="237">
        <f>IF(EXACT('Fabric Changes'!E49,"Yes"),IF('Building Breakdown'!$D$5="High_Security",(HLOOKUP(F49,'Model Assumptions'!C$43:K$45,3,FALSE)*'Building Breakdown'!U65),(HLOOKUP(F49,'Model Assumptions'!C$43:K$45,2,FALSE)*'Building Breakdown'!U65)),0)</f>
        <v>0</v>
      </c>
      <c r="AO49" s="238">
        <f t="shared" si="16"/>
        <v>0</v>
      </c>
      <c r="AP49" s="238">
        <f>IF('Building Breakdown'!$F65='Fabric Changes'!$AP$6,$AK49*'Building Breakdown'!$D$8,0)</f>
        <v>0</v>
      </c>
      <c r="AQ49" s="285">
        <f t="shared" si="17"/>
        <v>0</v>
      </c>
      <c r="AR49" s="287">
        <f>IF($AP49=0,0,$AK49*VLOOKUP('Building Breakdown'!$E$8,'Emission factors'!$C$4:$D$8,2,FALSE))</f>
        <v>0</v>
      </c>
      <c r="AS49" s="238">
        <f>IF('Building Breakdown'!$F65='Fabric Changes'!$AS$6,$AK49*'Building Breakdown'!$D$9,0)</f>
        <v>0</v>
      </c>
      <c r="AT49" s="285">
        <f t="shared" si="18"/>
        <v>0</v>
      </c>
      <c r="AU49" s="287">
        <f>IF($AS49=0,0,$AK49*VLOOKUP('Building Breakdown'!$E$9,'Emission factors'!$C$4:$D$8,2,FALSE))</f>
        <v>0</v>
      </c>
      <c r="AV49" s="238">
        <f>IF('Building Breakdown'!$F65='Fabric Changes'!$AV$6,$AK49*'Building Breakdown'!$D$10,0)</f>
        <v>0</v>
      </c>
      <c r="AW49" s="285">
        <f t="shared" si="5"/>
        <v>0</v>
      </c>
      <c r="AX49" s="287">
        <f>IF($AV49=0,0,$AK49*VLOOKUP('Building Breakdown'!$E$10,'Emission factors'!$C$4:$D$8,2,FALSE))</f>
        <v>0</v>
      </c>
      <c r="AY49" s="169"/>
    </row>
    <row r="50" spans="2:51" x14ac:dyDescent="0.3">
      <c r="B50" s="226" t="str">
        <f>IF('Building Breakdown'!C66="","",'Building Breakdown'!C66)</f>
        <v/>
      </c>
      <c r="C50" s="106"/>
      <c r="D50" s="106"/>
      <c r="E50" s="106"/>
      <c r="F50" s="106"/>
      <c r="G50" s="106"/>
      <c r="H50" s="177">
        <f>MIN(IF(EXACT('Fabric Changes'!C50,"Yes"),'Model Assumptions'!$B$21,'Building Breakdown'!V66),'Building Breakdown'!V66)</f>
        <v>0</v>
      </c>
      <c r="I50" s="178">
        <f>MIN(IF(EXACT('Fabric Changes'!D50,"Yes"),'Model Assumptions'!$D$21,'Building Breakdown'!W66),'Building Breakdown'!W66)</f>
        <v>0</v>
      </c>
      <c r="J50" s="182">
        <f>MIN(IF(EXACT('Fabric Changes'!E50,"Yes"),'Model Assumptions'!$E$21,'Building Breakdown'!X66),'Building Breakdown'!X66)</f>
        <v>0</v>
      </c>
      <c r="K50" s="177">
        <f>(((('Building Breakdown'!$S66*$H50)+('Building Breakdown'!$T66*$I50)+('Building Breakdown'!$U66*$J50))*('Building Breakdown'!$G66-(VLOOKUP('Building Breakdown'!$D$7,'Model Assumptions'!$B$50:$O$72,2,FALSE))))/1000)*'Building Breakdown'!$E66</f>
        <v>0</v>
      </c>
      <c r="L50" s="178">
        <f>(((('Building Breakdown'!$S66*$H50)+('Building Breakdown'!$T66*$I50)+('Building Breakdown'!$U66*$J50))*('Building Breakdown'!$G66-(VLOOKUP('Building Breakdown'!$D$7,'Model Assumptions'!$B$50:$O$72,3,FALSE))))/1000)*'Building Breakdown'!$E66</f>
        <v>0</v>
      </c>
      <c r="M50" s="178">
        <f>(((('Building Breakdown'!$S66*$H50)+('Building Breakdown'!$T66*$I50)+('Building Breakdown'!$U66*$J50))*('Building Breakdown'!$G66-(VLOOKUP('Building Breakdown'!$D$7,'Model Assumptions'!$B$50:$O$72,4,FALSE))))/1000)*'Building Breakdown'!$E66</f>
        <v>0</v>
      </c>
      <c r="N50" s="178">
        <f>(((('Building Breakdown'!$S66*$H50)+('Building Breakdown'!$T66*$I50)+('Building Breakdown'!$U66*$J50))*('Building Breakdown'!$G66-(VLOOKUP('Building Breakdown'!$D$7,'Model Assumptions'!$B$50:$O$72,5,FALSE))))/1000)*'Building Breakdown'!$E66</f>
        <v>0</v>
      </c>
      <c r="O50" s="178">
        <f>(((('Building Breakdown'!$S66*$H50)+('Building Breakdown'!$T66*$I50)+('Building Breakdown'!$U66*$J50))*('Building Breakdown'!$G66-(VLOOKUP('Building Breakdown'!$D$7,'Model Assumptions'!$B$50:$O$72,6,FALSE))))/1000)*'Building Breakdown'!$E66</f>
        <v>0</v>
      </c>
      <c r="P50" s="178">
        <f>(((('Building Breakdown'!$S66*$H50)+('Building Breakdown'!$T66*$I50)+('Building Breakdown'!$U66*$J50))*('Building Breakdown'!$G66-(VLOOKUP('Building Breakdown'!$D$7,'Model Assumptions'!$B$50:$O$72,7,FALSE))))/1000)*'Building Breakdown'!$E66</f>
        <v>0</v>
      </c>
      <c r="Q50" s="178">
        <f>(((('Building Breakdown'!$S66*$H50)+('Building Breakdown'!$T66*$I50)+('Building Breakdown'!$U66*$J50))*('Building Breakdown'!$G66-(VLOOKUP('Building Breakdown'!$D$7,'Model Assumptions'!$B$50:$O$72,8,FALSE))))/1000)*'Building Breakdown'!$E66</f>
        <v>0</v>
      </c>
      <c r="R50" s="178">
        <f>(((('Building Breakdown'!$S66*$H50)+('Building Breakdown'!$T66*$I50)+('Building Breakdown'!$U66*$J50))*('Building Breakdown'!$G66-(VLOOKUP('Building Breakdown'!$D$7,'Model Assumptions'!$B$50:$O$72,9,FALSE))))/1000)*'Building Breakdown'!$E66</f>
        <v>0</v>
      </c>
      <c r="S50" s="178">
        <f>(((('Building Breakdown'!$S66*$H50)+('Building Breakdown'!$T66*$I50)+('Building Breakdown'!$U66*$J50))*('Building Breakdown'!$G66-(VLOOKUP('Building Breakdown'!$D$7,'Model Assumptions'!$B$50:$O$72,10,FALSE))))/1000)*'Building Breakdown'!$E66</f>
        <v>0</v>
      </c>
      <c r="T50" s="178">
        <f>(((('Building Breakdown'!$S66*$H50)+('Building Breakdown'!$T66*$I50)+('Building Breakdown'!$U66*$J50))*('Building Breakdown'!$G66-(VLOOKUP('Building Breakdown'!$D$7,'Model Assumptions'!$B$50:$O$72,11,FALSE))))/1000)*'Building Breakdown'!$E66</f>
        <v>0</v>
      </c>
      <c r="U50" s="178">
        <f>(((('Building Breakdown'!$S66*$H50)+('Building Breakdown'!$T66*$I50)+('Building Breakdown'!$U66*$J50))*('Building Breakdown'!$G66-(VLOOKUP('Building Breakdown'!$D$7,'Model Assumptions'!$B$50:$O$72,12,FALSE))))/1000)*'Building Breakdown'!$E66</f>
        <v>0</v>
      </c>
      <c r="V50" s="179">
        <f>(((('Building Breakdown'!$S66*$H50)+('Building Breakdown'!$T66*$I50)+('Building Breakdown'!$U66*$J50))*('Building Breakdown'!$G66-(VLOOKUP('Building Breakdown'!$D$7,'Model Assumptions'!$B$50:$O$72,13,FALSE))))/1000)*'Building Breakdown'!$E66</f>
        <v>0</v>
      </c>
      <c r="W50" s="177">
        <f>K50*VLOOKUP("Hours",'Model Assumptions'!$B$50:$O$72,2,FALSE)*'Building Breakdown'!$H66*'Building Breakdown'!$I66/168</f>
        <v>0</v>
      </c>
      <c r="X50" s="178">
        <f>L50*VLOOKUP("Hours",'Model Assumptions'!$B$50:$O$72,3,FALSE)*'Building Breakdown'!$H66*'Building Breakdown'!$I66/168</f>
        <v>0</v>
      </c>
      <c r="Y50" s="178">
        <f>M50*VLOOKUP("Hours",'Model Assumptions'!$B$50:$O$72,4,FALSE)*'Building Breakdown'!$H66*'Building Breakdown'!$I66/168</f>
        <v>0</v>
      </c>
      <c r="Z50" s="178">
        <f>N50*VLOOKUP("Hours",'Model Assumptions'!$B$50:$O$72,5,FALSE)*'Building Breakdown'!$H66*'Building Breakdown'!$I66/168</f>
        <v>0</v>
      </c>
      <c r="AA50" s="178">
        <f>O50*VLOOKUP("Hours",'Model Assumptions'!$B$50:$O$72,6,FALSE)*'Building Breakdown'!$H66*'Building Breakdown'!$I66/168</f>
        <v>0</v>
      </c>
      <c r="AB50" s="178">
        <f>P50*VLOOKUP("Hours",'Model Assumptions'!$B$50:$O$72,7,FALSE)*'Building Breakdown'!$H66*'Building Breakdown'!$I66/168</f>
        <v>0</v>
      </c>
      <c r="AC50" s="178">
        <f>Q50*VLOOKUP("Hours",'Model Assumptions'!$B$50:$O$72,8,FALSE)*'Building Breakdown'!$H66*'Building Breakdown'!$I66/168</f>
        <v>0</v>
      </c>
      <c r="AD50" s="178">
        <f>R50*VLOOKUP("Hours",'Model Assumptions'!$B$50:$O$72,9,FALSE)*'Building Breakdown'!$H66*'Building Breakdown'!$I66/168</f>
        <v>0</v>
      </c>
      <c r="AE50" s="178">
        <f>S50*VLOOKUP("Hours",'Model Assumptions'!$B$50:$O$72,10,FALSE)*'Building Breakdown'!$H66*'Building Breakdown'!$I66/168</f>
        <v>0</v>
      </c>
      <c r="AF50" s="178">
        <f>T50*VLOOKUP("Hours",'Model Assumptions'!$B$50:$O$72,11,FALSE)*'Building Breakdown'!$H66*'Building Breakdown'!$I66/168</f>
        <v>0</v>
      </c>
      <c r="AG50" s="178">
        <f>U50*VLOOKUP("Hours",'Model Assumptions'!$B$50:$O$72,12,FALSE)*'Building Breakdown'!$H66*'Building Breakdown'!$I66/168</f>
        <v>0</v>
      </c>
      <c r="AH50" s="179">
        <f>V50*VLOOKUP("Hours",'Model Assumptions'!$B$50:$O$72,13,FALSE)*'Building Breakdown'!$H66*'Building Breakdown'!$I66/168</f>
        <v>0</v>
      </c>
      <c r="AI50" s="234">
        <f t="shared" si="15"/>
        <v>0</v>
      </c>
      <c r="AJ50" s="234">
        <f>'Building Breakdown'!AW66</f>
        <v>0</v>
      </c>
      <c r="AK50" s="234">
        <f t="shared" si="6"/>
        <v>0</v>
      </c>
      <c r="AL50" s="235">
        <f>IF(EXACT('Fabric Changes'!C50,"Yes"),IF('Building Breakdown'!$D$5="High_Security",(HLOOKUP(G50,'Model Assumptions'!$C$43:$E$45,3,FALSE)*'Building Breakdown'!S66),(HLOOKUP(G50,'Model Assumptions'!$C$43:$E$45,2,FALSE)*'Building Breakdown'!S66)),0)</f>
        <v>0</v>
      </c>
      <c r="AM50" s="236">
        <f>IF(EXACT('Fabric Changes'!D50,"Yes"),IF('Building Breakdown'!$D$5="High_Security",('Model Assumptions'!$G$45*'Building Breakdown'!T66),('Model Assumptions'!$G$44*'Building Breakdown'!T66)),0)</f>
        <v>0</v>
      </c>
      <c r="AN50" s="237">
        <f>IF(EXACT('Fabric Changes'!E50,"Yes"),IF('Building Breakdown'!$D$5="High_Security",(HLOOKUP(F50,'Model Assumptions'!C$43:K$45,3,FALSE)*'Building Breakdown'!U66),(HLOOKUP(F50,'Model Assumptions'!C$43:K$45,2,FALSE)*'Building Breakdown'!U66)),0)</f>
        <v>0</v>
      </c>
      <c r="AO50" s="238">
        <f t="shared" si="16"/>
        <v>0</v>
      </c>
      <c r="AP50" s="238">
        <f>IF('Building Breakdown'!$F66='Fabric Changes'!$AP$6,$AK50*'Building Breakdown'!$D$8,0)</f>
        <v>0</v>
      </c>
      <c r="AQ50" s="285">
        <f t="shared" si="17"/>
        <v>0</v>
      </c>
      <c r="AR50" s="287">
        <f>IF($AP50=0,0,$AK50*VLOOKUP('Building Breakdown'!$E$8,'Emission factors'!$C$4:$D$8,2,FALSE))</f>
        <v>0</v>
      </c>
      <c r="AS50" s="238">
        <f>IF('Building Breakdown'!$F66='Fabric Changes'!$AS$6,$AK50*'Building Breakdown'!$D$9,0)</f>
        <v>0</v>
      </c>
      <c r="AT50" s="285">
        <f t="shared" si="18"/>
        <v>0</v>
      </c>
      <c r="AU50" s="287">
        <f>IF($AS50=0,0,$AK50*VLOOKUP('Building Breakdown'!$E$9,'Emission factors'!$C$4:$D$8,2,FALSE))</f>
        <v>0</v>
      </c>
      <c r="AV50" s="238">
        <f>IF('Building Breakdown'!$F66='Fabric Changes'!$AV$6,$AK50*'Building Breakdown'!$D$10,0)</f>
        <v>0</v>
      </c>
      <c r="AW50" s="285">
        <f t="shared" si="5"/>
        <v>0</v>
      </c>
      <c r="AX50" s="287">
        <f>IF($AV50=0,0,$AK50*VLOOKUP('Building Breakdown'!$E$10,'Emission factors'!$C$4:$D$8,2,FALSE))</f>
        <v>0</v>
      </c>
      <c r="AY50" s="169"/>
    </row>
    <row r="51" spans="2:51" x14ac:dyDescent="0.3">
      <c r="B51" s="226" t="str">
        <f>IF('Building Breakdown'!C67="","",'Building Breakdown'!C67)</f>
        <v/>
      </c>
      <c r="C51" s="106"/>
      <c r="D51" s="106"/>
      <c r="E51" s="106"/>
      <c r="F51" s="106"/>
      <c r="G51" s="106"/>
      <c r="H51" s="177">
        <f>MIN(IF(EXACT('Fabric Changes'!C51,"Yes"),'Model Assumptions'!$B$21,'Building Breakdown'!V67),'Building Breakdown'!V67)</f>
        <v>0</v>
      </c>
      <c r="I51" s="178">
        <f>MIN(IF(EXACT('Fabric Changes'!D51,"Yes"),'Model Assumptions'!$D$21,'Building Breakdown'!W67),'Building Breakdown'!W67)</f>
        <v>0</v>
      </c>
      <c r="J51" s="182">
        <f>MIN(IF(EXACT('Fabric Changes'!E51,"Yes"),'Model Assumptions'!$E$21,'Building Breakdown'!X67),'Building Breakdown'!X67)</f>
        <v>0</v>
      </c>
      <c r="K51" s="177">
        <f>(((('Building Breakdown'!$S67*$H51)+('Building Breakdown'!$T67*$I51)+('Building Breakdown'!$U67*$J51))*('Building Breakdown'!$G67-(VLOOKUP('Building Breakdown'!$D$7,'Model Assumptions'!$B$50:$O$72,2,FALSE))))/1000)*'Building Breakdown'!$E67</f>
        <v>0</v>
      </c>
      <c r="L51" s="178">
        <f>(((('Building Breakdown'!$S67*$H51)+('Building Breakdown'!$T67*$I51)+('Building Breakdown'!$U67*$J51))*('Building Breakdown'!$G67-(VLOOKUP('Building Breakdown'!$D$7,'Model Assumptions'!$B$50:$O$72,3,FALSE))))/1000)*'Building Breakdown'!$E67</f>
        <v>0</v>
      </c>
      <c r="M51" s="178">
        <f>(((('Building Breakdown'!$S67*$H51)+('Building Breakdown'!$T67*$I51)+('Building Breakdown'!$U67*$J51))*('Building Breakdown'!$G67-(VLOOKUP('Building Breakdown'!$D$7,'Model Assumptions'!$B$50:$O$72,4,FALSE))))/1000)*'Building Breakdown'!$E67</f>
        <v>0</v>
      </c>
      <c r="N51" s="178">
        <f>(((('Building Breakdown'!$S67*$H51)+('Building Breakdown'!$T67*$I51)+('Building Breakdown'!$U67*$J51))*('Building Breakdown'!$G67-(VLOOKUP('Building Breakdown'!$D$7,'Model Assumptions'!$B$50:$O$72,5,FALSE))))/1000)*'Building Breakdown'!$E67</f>
        <v>0</v>
      </c>
      <c r="O51" s="178">
        <f>(((('Building Breakdown'!$S67*$H51)+('Building Breakdown'!$T67*$I51)+('Building Breakdown'!$U67*$J51))*('Building Breakdown'!$G67-(VLOOKUP('Building Breakdown'!$D$7,'Model Assumptions'!$B$50:$O$72,6,FALSE))))/1000)*'Building Breakdown'!$E67</f>
        <v>0</v>
      </c>
      <c r="P51" s="178">
        <f>(((('Building Breakdown'!$S67*$H51)+('Building Breakdown'!$T67*$I51)+('Building Breakdown'!$U67*$J51))*('Building Breakdown'!$G67-(VLOOKUP('Building Breakdown'!$D$7,'Model Assumptions'!$B$50:$O$72,7,FALSE))))/1000)*'Building Breakdown'!$E67</f>
        <v>0</v>
      </c>
      <c r="Q51" s="178">
        <f>(((('Building Breakdown'!$S67*$H51)+('Building Breakdown'!$T67*$I51)+('Building Breakdown'!$U67*$J51))*('Building Breakdown'!$G67-(VLOOKUP('Building Breakdown'!$D$7,'Model Assumptions'!$B$50:$O$72,8,FALSE))))/1000)*'Building Breakdown'!$E67</f>
        <v>0</v>
      </c>
      <c r="R51" s="178">
        <f>(((('Building Breakdown'!$S67*$H51)+('Building Breakdown'!$T67*$I51)+('Building Breakdown'!$U67*$J51))*('Building Breakdown'!$G67-(VLOOKUP('Building Breakdown'!$D$7,'Model Assumptions'!$B$50:$O$72,9,FALSE))))/1000)*'Building Breakdown'!$E67</f>
        <v>0</v>
      </c>
      <c r="S51" s="178">
        <f>(((('Building Breakdown'!$S67*$H51)+('Building Breakdown'!$T67*$I51)+('Building Breakdown'!$U67*$J51))*('Building Breakdown'!$G67-(VLOOKUP('Building Breakdown'!$D$7,'Model Assumptions'!$B$50:$O$72,10,FALSE))))/1000)*'Building Breakdown'!$E67</f>
        <v>0</v>
      </c>
      <c r="T51" s="178">
        <f>(((('Building Breakdown'!$S67*$H51)+('Building Breakdown'!$T67*$I51)+('Building Breakdown'!$U67*$J51))*('Building Breakdown'!$G67-(VLOOKUP('Building Breakdown'!$D$7,'Model Assumptions'!$B$50:$O$72,11,FALSE))))/1000)*'Building Breakdown'!$E67</f>
        <v>0</v>
      </c>
      <c r="U51" s="178">
        <f>(((('Building Breakdown'!$S67*$H51)+('Building Breakdown'!$T67*$I51)+('Building Breakdown'!$U67*$J51))*('Building Breakdown'!$G67-(VLOOKUP('Building Breakdown'!$D$7,'Model Assumptions'!$B$50:$O$72,12,FALSE))))/1000)*'Building Breakdown'!$E67</f>
        <v>0</v>
      </c>
      <c r="V51" s="179">
        <f>(((('Building Breakdown'!$S67*$H51)+('Building Breakdown'!$T67*$I51)+('Building Breakdown'!$U67*$J51))*('Building Breakdown'!$G67-(VLOOKUP('Building Breakdown'!$D$7,'Model Assumptions'!$B$50:$O$72,13,FALSE))))/1000)*'Building Breakdown'!$E67</f>
        <v>0</v>
      </c>
      <c r="W51" s="177">
        <f>K51*VLOOKUP("Hours",'Model Assumptions'!$B$50:$O$72,2,FALSE)*'Building Breakdown'!$H67*'Building Breakdown'!$I67/168</f>
        <v>0</v>
      </c>
      <c r="X51" s="178">
        <f>L51*VLOOKUP("Hours",'Model Assumptions'!$B$50:$O$72,3,FALSE)*'Building Breakdown'!$H67*'Building Breakdown'!$I67/168</f>
        <v>0</v>
      </c>
      <c r="Y51" s="178">
        <f>M51*VLOOKUP("Hours",'Model Assumptions'!$B$50:$O$72,4,FALSE)*'Building Breakdown'!$H67*'Building Breakdown'!$I67/168</f>
        <v>0</v>
      </c>
      <c r="Z51" s="178">
        <f>N51*VLOOKUP("Hours",'Model Assumptions'!$B$50:$O$72,5,FALSE)*'Building Breakdown'!$H67*'Building Breakdown'!$I67/168</f>
        <v>0</v>
      </c>
      <c r="AA51" s="178">
        <f>O51*VLOOKUP("Hours",'Model Assumptions'!$B$50:$O$72,6,FALSE)*'Building Breakdown'!$H67*'Building Breakdown'!$I67/168</f>
        <v>0</v>
      </c>
      <c r="AB51" s="178">
        <f>P51*VLOOKUP("Hours",'Model Assumptions'!$B$50:$O$72,7,FALSE)*'Building Breakdown'!$H67*'Building Breakdown'!$I67/168</f>
        <v>0</v>
      </c>
      <c r="AC51" s="178">
        <f>Q51*VLOOKUP("Hours",'Model Assumptions'!$B$50:$O$72,8,FALSE)*'Building Breakdown'!$H67*'Building Breakdown'!$I67/168</f>
        <v>0</v>
      </c>
      <c r="AD51" s="178">
        <f>R51*VLOOKUP("Hours",'Model Assumptions'!$B$50:$O$72,9,FALSE)*'Building Breakdown'!$H67*'Building Breakdown'!$I67/168</f>
        <v>0</v>
      </c>
      <c r="AE51" s="178">
        <f>S51*VLOOKUP("Hours",'Model Assumptions'!$B$50:$O$72,10,FALSE)*'Building Breakdown'!$H67*'Building Breakdown'!$I67/168</f>
        <v>0</v>
      </c>
      <c r="AF51" s="178">
        <f>T51*VLOOKUP("Hours",'Model Assumptions'!$B$50:$O$72,11,FALSE)*'Building Breakdown'!$H67*'Building Breakdown'!$I67/168</f>
        <v>0</v>
      </c>
      <c r="AG51" s="178">
        <f>U51*VLOOKUP("Hours",'Model Assumptions'!$B$50:$O$72,12,FALSE)*'Building Breakdown'!$H67*'Building Breakdown'!$I67/168</f>
        <v>0</v>
      </c>
      <c r="AH51" s="179">
        <f>V51*VLOOKUP("Hours",'Model Assumptions'!$B$50:$O$72,13,FALSE)*'Building Breakdown'!$H67*'Building Breakdown'!$I67/168</f>
        <v>0</v>
      </c>
      <c r="AI51" s="234">
        <f t="shared" si="15"/>
        <v>0</v>
      </c>
      <c r="AJ51" s="234">
        <f>'Building Breakdown'!AW67</f>
        <v>0</v>
      </c>
      <c r="AK51" s="234">
        <f t="shared" si="6"/>
        <v>0</v>
      </c>
      <c r="AL51" s="235">
        <f>IF(EXACT('Fabric Changes'!C51,"Yes"),IF('Building Breakdown'!$D$5="High_Security",(HLOOKUP(G51,'Model Assumptions'!$C$43:$E$45,3,FALSE)*'Building Breakdown'!S67),(HLOOKUP(G51,'Model Assumptions'!$C$43:$E$45,2,FALSE)*'Building Breakdown'!S67)),0)</f>
        <v>0</v>
      </c>
      <c r="AM51" s="236">
        <f>IF(EXACT('Fabric Changes'!D51,"Yes"),IF('Building Breakdown'!$D$5="High_Security",('Model Assumptions'!$G$45*'Building Breakdown'!T67),('Model Assumptions'!$G$44*'Building Breakdown'!T67)),0)</f>
        <v>0</v>
      </c>
      <c r="AN51" s="237">
        <f>IF(EXACT('Fabric Changes'!E51,"Yes"),IF('Building Breakdown'!$D$5="High_Security",(HLOOKUP(F51,'Model Assumptions'!C$43:K$45,3,FALSE)*'Building Breakdown'!U67),(HLOOKUP(F51,'Model Assumptions'!C$43:K$45,2,FALSE)*'Building Breakdown'!U67)),0)</f>
        <v>0</v>
      </c>
      <c r="AO51" s="238">
        <f t="shared" si="16"/>
        <v>0</v>
      </c>
      <c r="AP51" s="238">
        <f>IF('Building Breakdown'!$F67='Fabric Changes'!$AP$6,$AK51*'Building Breakdown'!$D$8,0)</f>
        <v>0</v>
      </c>
      <c r="AQ51" s="285">
        <f t="shared" si="17"/>
        <v>0</v>
      </c>
      <c r="AR51" s="287">
        <f>IF($AP51=0,0,$AK51*VLOOKUP('Building Breakdown'!$E$8,'Emission factors'!$C$4:$D$8,2,FALSE))</f>
        <v>0</v>
      </c>
      <c r="AS51" s="238">
        <f>IF('Building Breakdown'!$F67='Fabric Changes'!$AS$6,$AK51*'Building Breakdown'!$D$9,0)</f>
        <v>0</v>
      </c>
      <c r="AT51" s="285">
        <f t="shared" si="18"/>
        <v>0</v>
      </c>
      <c r="AU51" s="287">
        <f>IF($AS51=0,0,$AK51*VLOOKUP('Building Breakdown'!$E$9,'Emission factors'!$C$4:$D$8,2,FALSE))</f>
        <v>0</v>
      </c>
      <c r="AV51" s="238">
        <f>IF('Building Breakdown'!$F67='Fabric Changes'!$AV$6,$AK51*'Building Breakdown'!$D$10,0)</f>
        <v>0</v>
      </c>
      <c r="AW51" s="285">
        <f t="shared" si="5"/>
        <v>0</v>
      </c>
      <c r="AX51" s="287">
        <f>IF($AV51=0,0,$AK51*VLOOKUP('Building Breakdown'!$E$10,'Emission factors'!$C$4:$D$8,2,FALSE))</f>
        <v>0</v>
      </c>
      <c r="AY51" s="169"/>
    </row>
    <row r="52" spans="2:51" x14ac:dyDescent="0.3">
      <c r="B52" s="226" t="str">
        <f>IF('Building Breakdown'!C68="","",'Building Breakdown'!C68)</f>
        <v/>
      </c>
      <c r="C52" s="106"/>
      <c r="D52" s="106"/>
      <c r="E52" s="106"/>
      <c r="F52" s="106"/>
      <c r="G52" s="106"/>
      <c r="H52" s="177">
        <f>MIN(IF(EXACT('Fabric Changes'!C52,"Yes"),'Model Assumptions'!$B$21,'Building Breakdown'!V68),'Building Breakdown'!V68)</f>
        <v>0</v>
      </c>
      <c r="I52" s="178">
        <f>MIN(IF(EXACT('Fabric Changes'!D52,"Yes"),'Model Assumptions'!$D$21,'Building Breakdown'!W68),'Building Breakdown'!W68)</f>
        <v>0</v>
      </c>
      <c r="J52" s="182">
        <f>MIN(IF(EXACT('Fabric Changes'!E52,"Yes"),'Model Assumptions'!$E$21,'Building Breakdown'!X68),'Building Breakdown'!X68)</f>
        <v>0</v>
      </c>
      <c r="K52" s="177">
        <f>(((('Building Breakdown'!$S68*$H52)+('Building Breakdown'!$T68*$I52)+('Building Breakdown'!$U68*$J52))*('Building Breakdown'!$G68-(VLOOKUP('Building Breakdown'!$D$7,'Model Assumptions'!$B$50:$O$72,2,FALSE))))/1000)*'Building Breakdown'!$E68</f>
        <v>0</v>
      </c>
      <c r="L52" s="178">
        <f>(((('Building Breakdown'!$S68*$H52)+('Building Breakdown'!$T68*$I52)+('Building Breakdown'!$U68*$J52))*('Building Breakdown'!$G68-(VLOOKUP('Building Breakdown'!$D$7,'Model Assumptions'!$B$50:$O$72,3,FALSE))))/1000)*'Building Breakdown'!$E68</f>
        <v>0</v>
      </c>
      <c r="M52" s="178">
        <f>(((('Building Breakdown'!$S68*$H52)+('Building Breakdown'!$T68*$I52)+('Building Breakdown'!$U68*$J52))*('Building Breakdown'!$G68-(VLOOKUP('Building Breakdown'!$D$7,'Model Assumptions'!$B$50:$O$72,4,FALSE))))/1000)*'Building Breakdown'!$E68</f>
        <v>0</v>
      </c>
      <c r="N52" s="178">
        <f>(((('Building Breakdown'!$S68*$H52)+('Building Breakdown'!$T68*$I52)+('Building Breakdown'!$U68*$J52))*('Building Breakdown'!$G68-(VLOOKUP('Building Breakdown'!$D$7,'Model Assumptions'!$B$50:$O$72,5,FALSE))))/1000)*'Building Breakdown'!$E68</f>
        <v>0</v>
      </c>
      <c r="O52" s="178">
        <f>(((('Building Breakdown'!$S68*$H52)+('Building Breakdown'!$T68*$I52)+('Building Breakdown'!$U68*$J52))*('Building Breakdown'!$G68-(VLOOKUP('Building Breakdown'!$D$7,'Model Assumptions'!$B$50:$O$72,6,FALSE))))/1000)*'Building Breakdown'!$E68</f>
        <v>0</v>
      </c>
      <c r="P52" s="178">
        <f>(((('Building Breakdown'!$S68*$H52)+('Building Breakdown'!$T68*$I52)+('Building Breakdown'!$U68*$J52))*('Building Breakdown'!$G68-(VLOOKUP('Building Breakdown'!$D$7,'Model Assumptions'!$B$50:$O$72,7,FALSE))))/1000)*'Building Breakdown'!$E68</f>
        <v>0</v>
      </c>
      <c r="Q52" s="178">
        <f>(((('Building Breakdown'!$S68*$H52)+('Building Breakdown'!$T68*$I52)+('Building Breakdown'!$U68*$J52))*('Building Breakdown'!$G68-(VLOOKUP('Building Breakdown'!$D$7,'Model Assumptions'!$B$50:$O$72,8,FALSE))))/1000)*'Building Breakdown'!$E68</f>
        <v>0</v>
      </c>
      <c r="R52" s="178">
        <f>(((('Building Breakdown'!$S68*$H52)+('Building Breakdown'!$T68*$I52)+('Building Breakdown'!$U68*$J52))*('Building Breakdown'!$G68-(VLOOKUP('Building Breakdown'!$D$7,'Model Assumptions'!$B$50:$O$72,9,FALSE))))/1000)*'Building Breakdown'!$E68</f>
        <v>0</v>
      </c>
      <c r="S52" s="178">
        <f>(((('Building Breakdown'!$S68*$H52)+('Building Breakdown'!$T68*$I52)+('Building Breakdown'!$U68*$J52))*('Building Breakdown'!$G68-(VLOOKUP('Building Breakdown'!$D$7,'Model Assumptions'!$B$50:$O$72,10,FALSE))))/1000)*'Building Breakdown'!$E68</f>
        <v>0</v>
      </c>
      <c r="T52" s="178">
        <f>(((('Building Breakdown'!$S68*$H52)+('Building Breakdown'!$T68*$I52)+('Building Breakdown'!$U68*$J52))*('Building Breakdown'!$G68-(VLOOKUP('Building Breakdown'!$D$7,'Model Assumptions'!$B$50:$O$72,11,FALSE))))/1000)*'Building Breakdown'!$E68</f>
        <v>0</v>
      </c>
      <c r="U52" s="178">
        <f>(((('Building Breakdown'!$S68*$H52)+('Building Breakdown'!$T68*$I52)+('Building Breakdown'!$U68*$J52))*('Building Breakdown'!$G68-(VLOOKUP('Building Breakdown'!$D$7,'Model Assumptions'!$B$50:$O$72,12,FALSE))))/1000)*'Building Breakdown'!$E68</f>
        <v>0</v>
      </c>
      <c r="V52" s="179">
        <f>(((('Building Breakdown'!$S68*$H52)+('Building Breakdown'!$T68*$I52)+('Building Breakdown'!$U68*$J52))*('Building Breakdown'!$G68-(VLOOKUP('Building Breakdown'!$D$7,'Model Assumptions'!$B$50:$O$72,13,FALSE))))/1000)*'Building Breakdown'!$E68</f>
        <v>0</v>
      </c>
      <c r="W52" s="177">
        <f>K52*VLOOKUP("Hours",'Model Assumptions'!$B$50:$O$72,2,FALSE)*'Building Breakdown'!$H68*'Building Breakdown'!$I68/168</f>
        <v>0</v>
      </c>
      <c r="X52" s="178">
        <f>L52*VLOOKUP("Hours",'Model Assumptions'!$B$50:$O$72,3,FALSE)*'Building Breakdown'!$H68*'Building Breakdown'!$I68/168</f>
        <v>0</v>
      </c>
      <c r="Y52" s="178">
        <f>M52*VLOOKUP("Hours",'Model Assumptions'!$B$50:$O$72,4,FALSE)*'Building Breakdown'!$H68*'Building Breakdown'!$I68/168</f>
        <v>0</v>
      </c>
      <c r="Z52" s="178">
        <f>N52*VLOOKUP("Hours",'Model Assumptions'!$B$50:$O$72,5,FALSE)*'Building Breakdown'!$H68*'Building Breakdown'!$I68/168</f>
        <v>0</v>
      </c>
      <c r="AA52" s="178">
        <f>O52*VLOOKUP("Hours",'Model Assumptions'!$B$50:$O$72,6,FALSE)*'Building Breakdown'!$H68*'Building Breakdown'!$I68/168</f>
        <v>0</v>
      </c>
      <c r="AB52" s="178">
        <f>P52*VLOOKUP("Hours",'Model Assumptions'!$B$50:$O$72,7,FALSE)*'Building Breakdown'!$H68*'Building Breakdown'!$I68/168</f>
        <v>0</v>
      </c>
      <c r="AC52" s="178">
        <f>Q52*VLOOKUP("Hours",'Model Assumptions'!$B$50:$O$72,8,FALSE)*'Building Breakdown'!$H68*'Building Breakdown'!$I68/168</f>
        <v>0</v>
      </c>
      <c r="AD52" s="178">
        <f>R52*VLOOKUP("Hours",'Model Assumptions'!$B$50:$O$72,9,FALSE)*'Building Breakdown'!$H68*'Building Breakdown'!$I68/168</f>
        <v>0</v>
      </c>
      <c r="AE52" s="178">
        <f>S52*VLOOKUP("Hours",'Model Assumptions'!$B$50:$O$72,10,FALSE)*'Building Breakdown'!$H68*'Building Breakdown'!$I68/168</f>
        <v>0</v>
      </c>
      <c r="AF52" s="178">
        <f>T52*VLOOKUP("Hours",'Model Assumptions'!$B$50:$O$72,11,FALSE)*'Building Breakdown'!$H68*'Building Breakdown'!$I68/168</f>
        <v>0</v>
      </c>
      <c r="AG52" s="178">
        <f>U52*VLOOKUP("Hours",'Model Assumptions'!$B$50:$O$72,12,FALSE)*'Building Breakdown'!$H68*'Building Breakdown'!$I68/168</f>
        <v>0</v>
      </c>
      <c r="AH52" s="179">
        <f>V52*VLOOKUP("Hours",'Model Assumptions'!$B$50:$O$72,13,FALSE)*'Building Breakdown'!$H68*'Building Breakdown'!$I68/168</f>
        <v>0</v>
      </c>
      <c r="AI52" s="234">
        <f t="shared" si="15"/>
        <v>0</v>
      </c>
      <c r="AJ52" s="234">
        <f>'Building Breakdown'!AW68</f>
        <v>0</v>
      </c>
      <c r="AK52" s="234">
        <f t="shared" si="6"/>
        <v>0</v>
      </c>
      <c r="AL52" s="235">
        <f>IF(EXACT('Fabric Changes'!C52,"Yes"),IF('Building Breakdown'!$D$5="High_Security",(HLOOKUP(G52,'Model Assumptions'!$C$43:$E$45,3,FALSE)*'Building Breakdown'!S68),(HLOOKUP(G52,'Model Assumptions'!$C$43:$E$45,2,FALSE)*'Building Breakdown'!S68)),0)</f>
        <v>0</v>
      </c>
      <c r="AM52" s="236">
        <f>IF(EXACT('Fabric Changes'!D52,"Yes"),IF('Building Breakdown'!$D$5="High_Security",('Model Assumptions'!$G$45*'Building Breakdown'!T68),('Model Assumptions'!$G$44*'Building Breakdown'!T68)),0)</f>
        <v>0</v>
      </c>
      <c r="AN52" s="237">
        <f>IF(EXACT('Fabric Changes'!E52,"Yes"),IF('Building Breakdown'!$D$5="High_Security",(HLOOKUP(F52,'Model Assumptions'!C$43:K$45,3,FALSE)*'Building Breakdown'!U68),(HLOOKUP(F52,'Model Assumptions'!C$43:K$45,2,FALSE)*'Building Breakdown'!U68)),0)</f>
        <v>0</v>
      </c>
      <c r="AO52" s="238">
        <f t="shared" si="16"/>
        <v>0</v>
      </c>
      <c r="AP52" s="238">
        <f>IF('Building Breakdown'!$F68='Fabric Changes'!$AP$6,$AK52*'Building Breakdown'!$D$8,0)</f>
        <v>0</v>
      </c>
      <c r="AQ52" s="285">
        <f t="shared" si="17"/>
        <v>0</v>
      </c>
      <c r="AR52" s="287">
        <f>IF($AP52=0,0,$AK52*VLOOKUP('Building Breakdown'!$E$8,'Emission factors'!$C$4:$D$8,2,FALSE))</f>
        <v>0</v>
      </c>
      <c r="AS52" s="238">
        <f>IF('Building Breakdown'!$F68='Fabric Changes'!$AS$6,$AK52*'Building Breakdown'!$D$9,0)</f>
        <v>0</v>
      </c>
      <c r="AT52" s="285">
        <f t="shared" si="18"/>
        <v>0</v>
      </c>
      <c r="AU52" s="287">
        <f>IF($AS52=0,0,$AK52*VLOOKUP('Building Breakdown'!$E$9,'Emission factors'!$C$4:$D$8,2,FALSE))</f>
        <v>0</v>
      </c>
      <c r="AV52" s="238">
        <f>IF('Building Breakdown'!$F68='Fabric Changes'!$AV$6,$AK52*'Building Breakdown'!$D$10,0)</f>
        <v>0</v>
      </c>
      <c r="AW52" s="285">
        <f t="shared" si="5"/>
        <v>0</v>
      </c>
      <c r="AX52" s="287">
        <f>IF($AV52=0,0,$AK52*VLOOKUP('Building Breakdown'!$E$10,'Emission factors'!$C$4:$D$8,2,FALSE))</f>
        <v>0</v>
      </c>
      <c r="AY52" s="169"/>
    </row>
    <row r="53" spans="2:51" x14ac:dyDescent="0.3">
      <c r="B53" s="226" t="str">
        <f>IF('Building Breakdown'!C69="","",'Building Breakdown'!C69)</f>
        <v/>
      </c>
      <c r="C53" s="106"/>
      <c r="D53" s="106"/>
      <c r="E53" s="106"/>
      <c r="F53" s="106"/>
      <c r="G53" s="106"/>
      <c r="H53" s="177">
        <f>MIN(IF(EXACT('Fabric Changes'!C53,"Yes"),'Model Assumptions'!$B$21,'Building Breakdown'!V69),'Building Breakdown'!V69)</f>
        <v>0</v>
      </c>
      <c r="I53" s="178">
        <f>MIN(IF(EXACT('Fabric Changes'!D53,"Yes"),'Model Assumptions'!$D$21,'Building Breakdown'!W69),'Building Breakdown'!W69)</f>
        <v>0</v>
      </c>
      <c r="J53" s="182">
        <f>MIN(IF(EXACT('Fabric Changes'!E53,"Yes"),'Model Assumptions'!$E$21,'Building Breakdown'!X69),'Building Breakdown'!X69)</f>
        <v>0</v>
      </c>
      <c r="K53" s="177">
        <f>(((('Building Breakdown'!$S69*$H53)+('Building Breakdown'!$T69*$I53)+('Building Breakdown'!$U69*$J53))*('Building Breakdown'!$G69-(VLOOKUP('Building Breakdown'!$D$7,'Model Assumptions'!$B$50:$O$72,2,FALSE))))/1000)*'Building Breakdown'!$E69</f>
        <v>0</v>
      </c>
      <c r="L53" s="178">
        <f>(((('Building Breakdown'!$S69*$H53)+('Building Breakdown'!$T69*$I53)+('Building Breakdown'!$U69*$J53))*('Building Breakdown'!$G69-(VLOOKUP('Building Breakdown'!$D$7,'Model Assumptions'!$B$50:$O$72,3,FALSE))))/1000)*'Building Breakdown'!$E69</f>
        <v>0</v>
      </c>
      <c r="M53" s="178">
        <f>(((('Building Breakdown'!$S69*$H53)+('Building Breakdown'!$T69*$I53)+('Building Breakdown'!$U69*$J53))*('Building Breakdown'!$G69-(VLOOKUP('Building Breakdown'!$D$7,'Model Assumptions'!$B$50:$O$72,4,FALSE))))/1000)*'Building Breakdown'!$E69</f>
        <v>0</v>
      </c>
      <c r="N53" s="178">
        <f>(((('Building Breakdown'!$S69*$H53)+('Building Breakdown'!$T69*$I53)+('Building Breakdown'!$U69*$J53))*('Building Breakdown'!$G69-(VLOOKUP('Building Breakdown'!$D$7,'Model Assumptions'!$B$50:$O$72,5,FALSE))))/1000)*'Building Breakdown'!$E69</f>
        <v>0</v>
      </c>
      <c r="O53" s="178">
        <f>(((('Building Breakdown'!$S69*$H53)+('Building Breakdown'!$T69*$I53)+('Building Breakdown'!$U69*$J53))*('Building Breakdown'!$G69-(VLOOKUP('Building Breakdown'!$D$7,'Model Assumptions'!$B$50:$O$72,6,FALSE))))/1000)*'Building Breakdown'!$E69</f>
        <v>0</v>
      </c>
      <c r="P53" s="178">
        <f>(((('Building Breakdown'!$S69*$H53)+('Building Breakdown'!$T69*$I53)+('Building Breakdown'!$U69*$J53))*('Building Breakdown'!$G69-(VLOOKUP('Building Breakdown'!$D$7,'Model Assumptions'!$B$50:$O$72,7,FALSE))))/1000)*'Building Breakdown'!$E69</f>
        <v>0</v>
      </c>
      <c r="Q53" s="178">
        <f>(((('Building Breakdown'!$S69*$H53)+('Building Breakdown'!$T69*$I53)+('Building Breakdown'!$U69*$J53))*('Building Breakdown'!$G69-(VLOOKUP('Building Breakdown'!$D$7,'Model Assumptions'!$B$50:$O$72,8,FALSE))))/1000)*'Building Breakdown'!$E69</f>
        <v>0</v>
      </c>
      <c r="R53" s="178">
        <f>(((('Building Breakdown'!$S69*$H53)+('Building Breakdown'!$T69*$I53)+('Building Breakdown'!$U69*$J53))*('Building Breakdown'!$G69-(VLOOKUP('Building Breakdown'!$D$7,'Model Assumptions'!$B$50:$O$72,9,FALSE))))/1000)*'Building Breakdown'!$E69</f>
        <v>0</v>
      </c>
      <c r="S53" s="178">
        <f>(((('Building Breakdown'!$S69*$H53)+('Building Breakdown'!$T69*$I53)+('Building Breakdown'!$U69*$J53))*('Building Breakdown'!$G69-(VLOOKUP('Building Breakdown'!$D$7,'Model Assumptions'!$B$50:$O$72,10,FALSE))))/1000)*'Building Breakdown'!$E69</f>
        <v>0</v>
      </c>
      <c r="T53" s="178">
        <f>(((('Building Breakdown'!$S69*$H53)+('Building Breakdown'!$T69*$I53)+('Building Breakdown'!$U69*$J53))*('Building Breakdown'!$G69-(VLOOKUP('Building Breakdown'!$D$7,'Model Assumptions'!$B$50:$O$72,11,FALSE))))/1000)*'Building Breakdown'!$E69</f>
        <v>0</v>
      </c>
      <c r="U53" s="178">
        <f>(((('Building Breakdown'!$S69*$H53)+('Building Breakdown'!$T69*$I53)+('Building Breakdown'!$U69*$J53))*('Building Breakdown'!$G69-(VLOOKUP('Building Breakdown'!$D$7,'Model Assumptions'!$B$50:$O$72,12,FALSE))))/1000)*'Building Breakdown'!$E69</f>
        <v>0</v>
      </c>
      <c r="V53" s="179">
        <f>(((('Building Breakdown'!$S69*$H53)+('Building Breakdown'!$T69*$I53)+('Building Breakdown'!$U69*$J53))*('Building Breakdown'!$G69-(VLOOKUP('Building Breakdown'!$D$7,'Model Assumptions'!$B$50:$O$72,13,FALSE))))/1000)*'Building Breakdown'!$E69</f>
        <v>0</v>
      </c>
      <c r="W53" s="177">
        <f>K53*VLOOKUP("Hours",'Model Assumptions'!$B$50:$O$72,2,FALSE)*'Building Breakdown'!$H69*'Building Breakdown'!$I69/168</f>
        <v>0</v>
      </c>
      <c r="X53" s="178">
        <f>L53*VLOOKUP("Hours",'Model Assumptions'!$B$50:$O$72,3,FALSE)*'Building Breakdown'!$H69*'Building Breakdown'!$I69/168</f>
        <v>0</v>
      </c>
      <c r="Y53" s="178">
        <f>M53*VLOOKUP("Hours",'Model Assumptions'!$B$50:$O$72,4,FALSE)*'Building Breakdown'!$H69*'Building Breakdown'!$I69/168</f>
        <v>0</v>
      </c>
      <c r="Z53" s="178">
        <f>N53*VLOOKUP("Hours",'Model Assumptions'!$B$50:$O$72,5,FALSE)*'Building Breakdown'!$H69*'Building Breakdown'!$I69/168</f>
        <v>0</v>
      </c>
      <c r="AA53" s="178">
        <f>O53*VLOOKUP("Hours",'Model Assumptions'!$B$50:$O$72,6,FALSE)*'Building Breakdown'!$H69*'Building Breakdown'!$I69/168</f>
        <v>0</v>
      </c>
      <c r="AB53" s="178">
        <f>P53*VLOOKUP("Hours",'Model Assumptions'!$B$50:$O$72,7,FALSE)*'Building Breakdown'!$H69*'Building Breakdown'!$I69/168</f>
        <v>0</v>
      </c>
      <c r="AC53" s="178">
        <f>Q53*VLOOKUP("Hours",'Model Assumptions'!$B$50:$O$72,8,FALSE)*'Building Breakdown'!$H69*'Building Breakdown'!$I69/168</f>
        <v>0</v>
      </c>
      <c r="AD53" s="178">
        <f>R53*VLOOKUP("Hours",'Model Assumptions'!$B$50:$O$72,9,FALSE)*'Building Breakdown'!$H69*'Building Breakdown'!$I69/168</f>
        <v>0</v>
      </c>
      <c r="AE53" s="178">
        <f>S53*VLOOKUP("Hours",'Model Assumptions'!$B$50:$O$72,10,FALSE)*'Building Breakdown'!$H69*'Building Breakdown'!$I69/168</f>
        <v>0</v>
      </c>
      <c r="AF53" s="178">
        <f>T53*VLOOKUP("Hours",'Model Assumptions'!$B$50:$O$72,11,FALSE)*'Building Breakdown'!$H69*'Building Breakdown'!$I69/168</f>
        <v>0</v>
      </c>
      <c r="AG53" s="178">
        <f>U53*VLOOKUP("Hours",'Model Assumptions'!$B$50:$O$72,12,FALSE)*'Building Breakdown'!$H69*'Building Breakdown'!$I69/168</f>
        <v>0</v>
      </c>
      <c r="AH53" s="179">
        <f>V53*VLOOKUP("Hours",'Model Assumptions'!$B$50:$O$72,13,FALSE)*'Building Breakdown'!$H69*'Building Breakdown'!$I69/168</f>
        <v>0</v>
      </c>
      <c r="AI53" s="234">
        <f t="shared" si="15"/>
        <v>0</v>
      </c>
      <c r="AJ53" s="234">
        <f>'Building Breakdown'!AW69</f>
        <v>0</v>
      </c>
      <c r="AK53" s="234">
        <f t="shared" si="6"/>
        <v>0</v>
      </c>
      <c r="AL53" s="235">
        <f>IF(EXACT('Fabric Changes'!C53,"Yes"),IF('Building Breakdown'!$D$5="High_Security",(HLOOKUP(G53,'Model Assumptions'!$C$43:$E$45,3,FALSE)*'Building Breakdown'!S69),(HLOOKUP(G53,'Model Assumptions'!$C$43:$E$45,2,FALSE)*'Building Breakdown'!S69)),0)</f>
        <v>0</v>
      </c>
      <c r="AM53" s="236">
        <f>IF(EXACT('Fabric Changes'!D53,"Yes"),IF('Building Breakdown'!$D$5="High_Security",('Model Assumptions'!$G$45*'Building Breakdown'!T69),('Model Assumptions'!$G$44*'Building Breakdown'!T69)),0)</f>
        <v>0</v>
      </c>
      <c r="AN53" s="237">
        <f>IF(EXACT('Fabric Changes'!E53,"Yes"),IF('Building Breakdown'!$D$5="High_Security",(HLOOKUP(F53,'Model Assumptions'!C$43:K$45,3,FALSE)*'Building Breakdown'!U69),(HLOOKUP(F53,'Model Assumptions'!C$43:K$45,2,FALSE)*'Building Breakdown'!U69)),0)</f>
        <v>0</v>
      </c>
      <c r="AO53" s="238">
        <f t="shared" si="16"/>
        <v>0</v>
      </c>
      <c r="AP53" s="238">
        <f>IF('Building Breakdown'!$F69='Fabric Changes'!$AP$6,$AK53*'Building Breakdown'!$D$8,0)</f>
        <v>0</v>
      </c>
      <c r="AQ53" s="285">
        <f t="shared" si="17"/>
        <v>0</v>
      </c>
      <c r="AR53" s="287">
        <f>IF($AP53=0,0,$AK53*VLOOKUP('Building Breakdown'!$E$8,'Emission factors'!$C$4:$D$8,2,FALSE))</f>
        <v>0</v>
      </c>
      <c r="AS53" s="238">
        <f>IF('Building Breakdown'!$F69='Fabric Changes'!$AS$6,$AK53*'Building Breakdown'!$D$9,0)</f>
        <v>0</v>
      </c>
      <c r="AT53" s="285">
        <f t="shared" si="18"/>
        <v>0</v>
      </c>
      <c r="AU53" s="287">
        <f>IF($AS53=0,0,$AK53*VLOOKUP('Building Breakdown'!$E$9,'Emission factors'!$C$4:$D$8,2,FALSE))</f>
        <v>0</v>
      </c>
      <c r="AV53" s="238">
        <f>IF('Building Breakdown'!$F69='Fabric Changes'!$AV$6,$AK53*'Building Breakdown'!$D$10,0)</f>
        <v>0</v>
      </c>
      <c r="AW53" s="285">
        <f t="shared" si="5"/>
        <v>0</v>
      </c>
      <c r="AX53" s="287">
        <f>IF($AV53=0,0,$AK53*VLOOKUP('Building Breakdown'!$E$10,'Emission factors'!$C$4:$D$8,2,FALSE))</f>
        <v>0</v>
      </c>
      <c r="AY53" s="169"/>
    </row>
    <row r="54" spans="2:51" x14ac:dyDescent="0.3">
      <c r="B54" s="226" t="str">
        <f>IF('Building Breakdown'!C70="","",'Building Breakdown'!C70)</f>
        <v/>
      </c>
      <c r="C54" s="106"/>
      <c r="D54" s="106"/>
      <c r="E54" s="106"/>
      <c r="F54" s="106"/>
      <c r="G54" s="106"/>
      <c r="H54" s="177">
        <f>MIN(IF(EXACT('Fabric Changes'!C54,"Yes"),'Model Assumptions'!$B$21,'Building Breakdown'!V70),'Building Breakdown'!V70)</f>
        <v>0</v>
      </c>
      <c r="I54" s="178">
        <f>MIN(IF(EXACT('Fabric Changes'!D54,"Yes"),'Model Assumptions'!$D$21,'Building Breakdown'!W70),'Building Breakdown'!W70)</f>
        <v>0</v>
      </c>
      <c r="J54" s="182">
        <f>MIN(IF(EXACT('Fabric Changes'!E54,"Yes"),'Model Assumptions'!$E$21,'Building Breakdown'!X70),'Building Breakdown'!X70)</f>
        <v>0</v>
      </c>
      <c r="K54" s="177">
        <f>(((('Building Breakdown'!$S70*$H54)+('Building Breakdown'!$T70*$I54)+('Building Breakdown'!$U70*$J54))*('Building Breakdown'!$G70-(VLOOKUP('Building Breakdown'!$D$7,'Model Assumptions'!$B$50:$O$72,2,FALSE))))/1000)*'Building Breakdown'!$E70</f>
        <v>0</v>
      </c>
      <c r="L54" s="178">
        <f>(((('Building Breakdown'!$S70*$H54)+('Building Breakdown'!$T70*$I54)+('Building Breakdown'!$U70*$J54))*('Building Breakdown'!$G70-(VLOOKUP('Building Breakdown'!$D$7,'Model Assumptions'!$B$50:$O$72,3,FALSE))))/1000)*'Building Breakdown'!$E70</f>
        <v>0</v>
      </c>
      <c r="M54" s="178">
        <f>(((('Building Breakdown'!$S70*$H54)+('Building Breakdown'!$T70*$I54)+('Building Breakdown'!$U70*$J54))*('Building Breakdown'!$G70-(VLOOKUP('Building Breakdown'!$D$7,'Model Assumptions'!$B$50:$O$72,4,FALSE))))/1000)*'Building Breakdown'!$E70</f>
        <v>0</v>
      </c>
      <c r="N54" s="178">
        <f>(((('Building Breakdown'!$S70*$H54)+('Building Breakdown'!$T70*$I54)+('Building Breakdown'!$U70*$J54))*('Building Breakdown'!$G70-(VLOOKUP('Building Breakdown'!$D$7,'Model Assumptions'!$B$50:$O$72,5,FALSE))))/1000)*'Building Breakdown'!$E70</f>
        <v>0</v>
      </c>
      <c r="O54" s="178">
        <f>(((('Building Breakdown'!$S70*$H54)+('Building Breakdown'!$T70*$I54)+('Building Breakdown'!$U70*$J54))*('Building Breakdown'!$G70-(VLOOKUP('Building Breakdown'!$D$7,'Model Assumptions'!$B$50:$O$72,6,FALSE))))/1000)*'Building Breakdown'!$E70</f>
        <v>0</v>
      </c>
      <c r="P54" s="178">
        <f>(((('Building Breakdown'!$S70*$H54)+('Building Breakdown'!$T70*$I54)+('Building Breakdown'!$U70*$J54))*('Building Breakdown'!$G70-(VLOOKUP('Building Breakdown'!$D$7,'Model Assumptions'!$B$50:$O$72,7,FALSE))))/1000)*'Building Breakdown'!$E70</f>
        <v>0</v>
      </c>
      <c r="Q54" s="178">
        <f>(((('Building Breakdown'!$S70*$H54)+('Building Breakdown'!$T70*$I54)+('Building Breakdown'!$U70*$J54))*('Building Breakdown'!$G70-(VLOOKUP('Building Breakdown'!$D$7,'Model Assumptions'!$B$50:$O$72,8,FALSE))))/1000)*'Building Breakdown'!$E70</f>
        <v>0</v>
      </c>
      <c r="R54" s="178">
        <f>(((('Building Breakdown'!$S70*$H54)+('Building Breakdown'!$T70*$I54)+('Building Breakdown'!$U70*$J54))*('Building Breakdown'!$G70-(VLOOKUP('Building Breakdown'!$D$7,'Model Assumptions'!$B$50:$O$72,9,FALSE))))/1000)*'Building Breakdown'!$E70</f>
        <v>0</v>
      </c>
      <c r="S54" s="178">
        <f>(((('Building Breakdown'!$S70*$H54)+('Building Breakdown'!$T70*$I54)+('Building Breakdown'!$U70*$J54))*('Building Breakdown'!$G70-(VLOOKUP('Building Breakdown'!$D$7,'Model Assumptions'!$B$50:$O$72,10,FALSE))))/1000)*'Building Breakdown'!$E70</f>
        <v>0</v>
      </c>
      <c r="T54" s="178">
        <f>(((('Building Breakdown'!$S70*$H54)+('Building Breakdown'!$T70*$I54)+('Building Breakdown'!$U70*$J54))*('Building Breakdown'!$G70-(VLOOKUP('Building Breakdown'!$D$7,'Model Assumptions'!$B$50:$O$72,11,FALSE))))/1000)*'Building Breakdown'!$E70</f>
        <v>0</v>
      </c>
      <c r="U54" s="178">
        <f>(((('Building Breakdown'!$S70*$H54)+('Building Breakdown'!$T70*$I54)+('Building Breakdown'!$U70*$J54))*('Building Breakdown'!$G70-(VLOOKUP('Building Breakdown'!$D$7,'Model Assumptions'!$B$50:$O$72,12,FALSE))))/1000)*'Building Breakdown'!$E70</f>
        <v>0</v>
      </c>
      <c r="V54" s="179">
        <f>(((('Building Breakdown'!$S70*$H54)+('Building Breakdown'!$T70*$I54)+('Building Breakdown'!$U70*$J54))*('Building Breakdown'!$G70-(VLOOKUP('Building Breakdown'!$D$7,'Model Assumptions'!$B$50:$O$72,13,FALSE))))/1000)*'Building Breakdown'!$E70</f>
        <v>0</v>
      </c>
      <c r="W54" s="177">
        <f>K54*VLOOKUP("Hours",'Model Assumptions'!$B$50:$O$72,2,FALSE)*'Building Breakdown'!$H70*'Building Breakdown'!$I70/168</f>
        <v>0</v>
      </c>
      <c r="X54" s="178">
        <f>L54*VLOOKUP("Hours",'Model Assumptions'!$B$50:$O$72,3,FALSE)*'Building Breakdown'!$H70*'Building Breakdown'!$I70/168</f>
        <v>0</v>
      </c>
      <c r="Y54" s="178">
        <f>M54*VLOOKUP("Hours",'Model Assumptions'!$B$50:$O$72,4,FALSE)*'Building Breakdown'!$H70*'Building Breakdown'!$I70/168</f>
        <v>0</v>
      </c>
      <c r="Z54" s="178">
        <f>N54*VLOOKUP("Hours",'Model Assumptions'!$B$50:$O$72,5,FALSE)*'Building Breakdown'!$H70*'Building Breakdown'!$I70/168</f>
        <v>0</v>
      </c>
      <c r="AA54" s="178">
        <f>O54*VLOOKUP("Hours",'Model Assumptions'!$B$50:$O$72,6,FALSE)*'Building Breakdown'!$H70*'Building Breakdown'!$I70/168</f>
        <v>0</v>
      </c>
      <c r="AB54" s="178">
        <f>P54*VLOOKUP("Hours",'Model Assumptions'!$B$50:$O$72,7,FALSE)*'Building Breakdown'!$H70*'Building Breakdown'!$I70/168</f>
        <v>0</v>
      </c>
      <c r="AC54" s="178">
        <f>Q54*VLOOKUP("Hours",'Model Assumptions'!$B$50:$O$72,8,FALSE)*'Building Breakdown'!$H70*'Building Breakdown'!$I70/168</f>
        <v>0</v>
      </c>
      <c r="AD54" s="178">
        <f>R54*VLOOKUP("Hours",'Model Assumptions'!$B$50:$O$72,9,FALSE)*'Building Breakdown'!$H70*'Building Breakdown'!$I70/168</f>
        <v>0</v>
      </c>
      <c r="AE54" s="178">
        <f>S54*VLOOKUP("Hours",'Model Assumptions'!$B$50:$O$72,10,FALSE)*'Building Breakdown'!$H70*'Building Breakdown'!$I70/168</f>
        <v>0</v>
      </c>
      <c r="AF54" s="178">
        <f>T54*VLOOKUP("Hours",'Model Assumptions'!$B$50:$O$72,11,FALSE)*'Building Breakdown'!$H70*'Building Breakdown'!$I70/168</f>
        <v>0</v>
      </c>
      <c r="AG54" s="178">
        <f>U54*VLOOKUP("Hours",'Model Assumptions'!$B$50:$O$72,12,FALSE)*'Building Breakdown'!$H70*'Building Breakdown'!$I70/168</f>
        <v>0</v>
      </c>
      <c r="AH54" s="179">
        <f>V54*VLOOKUP("Hours",'Model Assumptions'!$B$50:$O$72,13,FALSE)*'Building Breakdown'!$H70*'Building Breakdown'!$I70/168</f>
        <v>0</v>
      </c>
      <c r="AI54" s="234">
        <f t="shared" si="2"/>
        <v>0</v>
      </c>
      <c r="AJ54" s="234">
        <f>'Building Breakdown'!AW70</f>
        <v>0</v>
      </c>
      <c r="AK54" s="234">
        <f t="shared" si="6"/>
        <v>0</v>
      </c>
      <c r="AL54" s="235">
        <f>IF(EXACT('Fabric Changes'!C54,"Yes"),IF('Building Breakdown'!$D$5="High_Security",(HLOOKUP(G54,'Model Assumptions'!$C$43:$E$45,3,FALSE)*'Building Breakdown'!S70),(HLOOKUP(G54,'Model Assumptions'!$C$43:$E$45,2,FALSE)*'Building Breakdown'!S70)),0)</f>
        <v>0</v>
      </c>
      <c r="AM54" s="236">
        <f>IF(EXACT('Fabric Changes'!D54,"Yes"),IF('Building Breakdown'!$D$5="High_Security",('Model Assumptions'!$G$45*'Building Breakdown'!T70),('Model Assumptions'!$G$44*'Building Breakdown'!T70)),0)</f>
        <v>0</v>
      </c>
      <c r="AN54" s="237">
        <f>IF(EXACT('Fabric Changes'!E54,"Yes"),IF('Building Breakdown'!$D$5="High_Security",(HLOOKUP(F54,'Model Assumptions'!C$43:K$45,3,FALSE)*'Building Breakdown'!U70),(HLOOKUP(F54,'Model Assumptions'!C$43:K$45,2,FALSE)*'Building Breakdown'!U70)),0)</f>
        <v>0</v>
      </c>
      <c r="AO54" s="238">
        <f t="shared" si="3"/>
        <v>0</v>
      </c>
      <c r="AP54" s="238">
        <f>IF('Building Breakdown'!$F70='Fabric Changes'!$AP$6,$AK54*'Building Breakdown'!$D$8,0)</f>
        <v>0</v>
      </c>
      <c r="AQ54" s="285">
        <f t="shared" si="1"/>
        <v>0</v>
      </c>
      <c r="AR54" s="287">
        <f>IF($AP54=0,0,$AK54*VLOOKUP('Building Breakdown'!$E$8,'Emission factors'!$C$4:$D$8,2,FALSE))</f>
        <v>0</v>
      </c>
      <c r="AS54" s="238">
        <f>IF('Building Breakdown'!$F70='Fabric Changes'!$AS$6,$AK54*'Building Breakdown'!$D$9,0)</f>
        <v>0</v>
      </c>
      <c r="AT54" s="285">
        <f t="shared" si="4"/>
        <v>0</v>
      </c>
      <c r="AU54" s="287">
        <f>IF($AS54=0,0,$AK54*VLOOKUP('Building Breakdown'!$E$9,'Emission factors'!$C$4:$D$8,2,FALSE))</f>
        <v>0</v>
      </c>
      <c r="AV54" s="238">
        <f>IF('Building Breakdown'!$F70='Fabric Changes'!$AV$6,$AK54*'Building Breakdown'!$D$10,0)</f>
        <v>0</v>
      </c>
      <c r="AW54" s="285">
        <f t="shared" si="5"/>
        <v>0</v>
      </c>
      <c r="AX54" s="287">
        <f>IF($AV54=0,0,$AK54*VLOOKUP('Building Breakdown'!$E$10,'Emission factors'!$C$4:$D$8,2,FALSE))</f>
        <v>0</v>
      </c>
      <c r="AY54" s="169"/>
    </row>
    <row r="55" spans="2:51" x14ac:dyDescent="0.3">
      <c r="B55" s="226" t="str">
        <f>IF('Building Breakdown'!C71="","",'Building Breakdown'!C71)</f>
        <v/>
      </c>
      <c r="C55" s="106"/>
      <c r="D55" s="106"/>
      <c r="E55" s="106"/>
      <c r="F55" s="106"/>
      <c r="G55" s="106"/>
      <c r="H55" s="177">
        <f>MIN(IF(EXACT('Fabric Changes'!C55,"Yes"),'Model Assumptions'!$B$21,'Building Breakdown'!V71),'Building Breakdown'!V71)</f>
        <v>0</v>
      </c>
      <c r="I55" s="178">
        <f>MIN(IF(EXACT('Fabric Changes'!D55,"Yes"),'Model Assumptions'!$D$21,'Building Breakdown'!W71),'Building Breakdown'!W71)</f>
        <v>0</v>
      </c>
      <c r="J55" s="182">
        <f>MIN(IF(EXACT('Fabric Changes'!E55,"Yes"),'Model Assumptions'!$E$21,'Building Breakdown'!X71),'Building Breakdown'!X71)</f>
        <v>0</v>
      </c>
      <c r="K55" s="177">
        <f>(((('Building Breakdown'!$S71*$H55)+('Building Breakdown'!$T71*$I55)+('Building Breakdown'!$U71*$J55))*('Building Breakdown'!$G71-(VLOOKUP('Building Breakdown'!$D$7,'Model Assumptions'!$B$50:$O$72,2,FALSE))))/1000)*'Building Breakdown'!$E71</f>
        <v>0</v>
      </c>
      <c r="L55" s="178">
        <f>(((('Building Breakdown'!$S71*$H55)+('Building Breakdown'!$T71*$I55)+('Building Breakdown'!$U71*$J55))*('Building Breakdown'!$G71-(VLOOKUP('Building Breakdown'!$D$7,'Model Assumptions'!$B$50:$O$72,3,FALSE))))/1000)*'Building Breakdown'!$E71</f>
        <v>0</v>
      </c>
      <c r="M55" s="178">
        <f>(((('Building Breakdown'!$S71*$H55)+('Building Breakdown'!$T71*$I55)+('Building Breakdown'!$U71*$J55))*('Building Breakdown'!$G71-(VLOOKUP('Building Breakdown'!$D$7,'Model Assumptions'!$B$50:$O$72,4,FALSE))))/1000)*'Building Breakdown'!$E71</f>
        <v>0</v>
      </c>
      <c r="N55" s="178">
        <f>(((('Building Breakdown'!$S71*$H55)+('Building Breakdown'!$T71*$I55)+('Building Breakdown'!$U71*$J55))*('Building Breakdown'!$G71-(VLOOKUP('Building Breakdown'!$D$7,'Model Assumptions'!$B$50:$O$72,5,FALSE))))/1000)*'Building Breakdown'!$E71</f>
        <v>0</v>
      </c>
      <c r="O55" s="178">
        <f>(((('Building Breakdown'!$S71*$H55)+('Building Breakdown'!$T71*$I55)+('Building Breakdown'!$U71*$J55))*('Building Breakdown'!$G71-(VLOOKUP('Building Breakdown'!$D$7,'Model Assumptions'!$B$50:$O$72,6,FALSE))))/1000)*'Building Breakdown'!$E71</f>
        <v>0</v>
      </c>
      <c r="P55" s="178">
        <f>(((('Building Breakdown'!$S71*$H55)+('Building Breakdown'!$T71*$I55)+('Building Breakdown'!$U71*$J55))*('Building Breakdown'!$G71-(VLOOKUP('Building Breakdown'!$D$7,'Model Assumptions'!$B$50:$O$72,7,FALSE))))/1000)*'Building Breakdown'!$E71</f>
        <v>0</v>
      </c>
      <c r="Q55" s="178">
        <f>(((('Building Breakdown'!$S71*$H55)+('Building Breakdown'!$T71*$I55)+('Building Breakdown'!$U71*$J55))*('Building Breakdown'!$G71-(VLOOKUP('Building Breakdown'!$D$7,'Model Assumptions'!$B$50:$O$72,8,FALSE))))/1000)*'Building Breakdown'!$E71</f>
        <v>0</v>
      </c>
      <c r="R55" s="178">
        <f>(((('Building Breakdown'!$S71*$H55)+('Building Breakdown'!$T71*$I55)+('Building Breakdown'!$U71*$J55))*('Building Breakdown'!$G71-(VLOOKUP('Building Breakdown'!$D$7,'Model Assumptions'!$B$50:$O$72,9,FALSE))))/1000)*'Building Breakdown'!$E71</f>
        <v>0</v>
      </c>
      <c r="S55" s="178">
        <f>(((('Building Breakdown'!$S71*$H55)+('Building Breakdown'!$T71*$I55)+('Building Breakdown'!$U71*$J55))*('Building Breakdown'!$G71-(VLOOKUP('Building Breakdown'!$D$7,'Model Assumptions'!$B$50:$O$72,10,FALSE))))/1000)*'Building Breakdown'!$E71</f>
        <v>0</v>
      </c>
      <c r="T55" s="178">
        <f>(((('Building Breakdown'!$S71*$H55)+('Building Breakdown'!$T71*$I55)+('Building Breakdown'!$U71*$J55))*('Building Breakdown'!$G71-(VLOOKUP('Building Breakdown'!$D$7,'Model Assumptions'!$B$50:$O$72,11,FALSE))))/1000)*'Building Breakdown'!$E71</f>
        <v>0</v>
      </c>
      <c r="U55" s="178">
        <f>(((('Building Breakdown'!$S71*$H55)+('Building Breakdown'!$T71*$I55)+('Building Breakdown'!$U71*$J55))*('Building Breakdown'!$G71-(VLOOKUP('Building Breakdown'!$D$7,'Model Assumptions'!$B$50:$O$72,12,FALSE))))/1000)*'Building Breakdown'!$E71</f>
        <v>0</v>
      </c>
      <c r="V55" s="179">
        <f>(((('Building Breakdown'!$S71*$H55)+('Building Breakdown'!$T71*$I55)+('Building Breakdown'!$U71*$J55))*('Building Breakdown'!$G71-(VLOOKUP('Building Breakdown'!$D$7,'Model Assumptions'!$B$50:$O$72,13,FALSE))))/1000)*'Building Breakdown'!$E71</f>
        <v>0</v>
      </c>
      <c r="W55" s="177">
        <f>K55*VLOOKUP("Hours",'Model Assumptions'!$B$50:$O$72,2,FALSE)*'Building Breakdown'!$H71*'Building Breakdown'!$I71/168</f>
        <v>0</v>
      </c>
      <c r="X55" s="178">
        <f>L55*VLOOKUP("Hours",'Model Assumptions'!$B$50:$O$72,3,FALSE)*'Building Breakdown'!$H71*'Building Breakdown'!$I71/168</f>
        <v>0</v>
      </c>
      <c r="Y55" s="178">
        <f>M55*VLOOKUP("Hours",'Model Assumptions'!$B$50:$O$72,4,FALSE)*'Building Breakdown'!$H71*'Building Breakdown'!$I71/168</f>
        <v>0</v>
      </c>
      <c r="Z55" s="178">
        <f>N55*VLOOKUP("Hours",'Model Assumptions'!$B$50:$O$72,5,FALSE)*'Building Breakdown'!$H71*'Building Breakdown'!$I71/168</f>
        <v>0</v>
      </c>
      <c r="AA55" s="178">
        <f>O55*VLOOKUP("Hours",'Model Assumptions'!$B$50:$O$72,6,FALSE)*'Building Breakdown'!$H71*'Building Breakdown'!$I71/168</f>
        <v>0</v>
      </c>
      <c r="AB55" s="178">
        <f>P55*VLOOKUP("Hours",'Model Assumptions'!$B$50:$O$72,7,FALSE)*'Building Breakdown'!$H71*'Building Breakdown'!$I71/168</f>
        <v>0</v>
      </c>
      <c r="AC55" s="178">
        <f>Q55*VLOOKUP("Hours",'Model Assumptions'!$B$50:$O$72,8,FALSE)*'Building Breakdown'!$H71*'Building Breakdown'!$I71/168</f>
        <v>0</v>
      </c>
      <c r="AD55" s="178">
        <f>R55*VLOOKUP("Hours",'Model Assumptions'!$B$50:$O$72,9,FALSE)*'Building Breakdown'!$H71*'Building Breakdown'!$I71/168</f>
        <v>0</v>
      </c>
      <c r="AE55" s="178">
        <f>S55*VLOOKUP("Hours",'Model Assumptions'!$B$50:$O$72,10,FALSE)*'Building Breakdown'!$H71*'Building Breakdown'!$I71/168</f>
        <v>0</v>
      </c>
      <c r="AF55" s="178">
        <f>T55*VLOOKUP("Hours",'Model Assumptions'!$B$50:$O$72,11,FALSE)*'Building Breakdown'!$H71*'Building Breakdown'!$I71/168</f>
        <v>0</v>
      </c>
      <c r="AG55" s="178">
        <f>U55*VLOOKUP("Hours",'Model Assumptions'!$B$50:$O$72,12,FALSE)*'Building Breakdown'!$H71*'Building Breakdown'!$I71/168</f>
        <v>0</v>
      </c>
      <c r="AH55" s="179">
        <f>V55*VLOOKUP("Hours",'Model Assumptions'!$B$50:$O$72,13,FALSE)*'Building Breakdown'!$H71*'Building Breakdown'!$I71/168</f>
        <v>0</v>
      </c>
      <c r="AI55" s="234">
        <f t="shared" si="2"/>
        <v>0</v>
      </c>
      <c r="AJ55" s="234">
        <f>'Building Breakdown'!AW71</f>
        <v>0</v>
      </c>
      <c r="AK55" s="234">
        <f t="shared" si="6"/>
        <v>0</v>
      </c>
      <c r="AL55" s="235">
        <f>IF(EXACT('Fabric Changes'!C55,"Yes"),IF('Building Breakdown'!$D$5="High_Security",(HLOOKUP(G55,'Model Assumptions'!$C$43:$E$45,3,FALSE)*'Building Breakdown'!S71),(HLOOKUP(G55,'Model Assumptions'!$C$43:$E$45,2,FALSE)*'Building Breakdown'!S71)),0)</f>
        <v>0</v>
      </c>
      <c r="AM55" s="236">
        <f>IF(EXACT('Fabric Changes'!D55,"Yes"),IF('Building Breakdown'!$D$5="High_Security",('Model Assumptions'!$G$45*'Building Breakdown'!T71),('Model Assumptions'!$G$44*'Building Breakdown'!T71)),0)</f>
        <v>0</v>
      </c>
      <c r="AN55" s="237">
        <f>IF(EXACT('Fabric Changes'!E55,"Yes"),IF('Building Breakdown'!$D$5="High_Security",(HLOOKUP(F55,'Model Assumptions'!C$43:K$45,3,FALSE)*'Building Breakdown'!U71),(HLOOKUP(F55,'Model Assumptions'!C$43:K$45,2,FALSE)*'Building Breakdown'!U71)),0)</f>
        <v>0</v>
      </c>
      <c r="AO55" s="238">
        <f t="shared" si="3"/>
        <v>0</v>
      </c>
      <c r="AP55" s="238">
        <f>IF('Building Breakdown'!$F71='Fabric Changes'!$AP$6,$AK55*'Building Breakdown'!$D$8,0)</f>
        <v>0</v>
      </c>
      <c r="AQ55" s="285">
        <f t="shared" si="1"/>
        <v>0</v>
      </c>
      <c r="AR55" s="287">
        <f>IF($AP55=0,0,$AK55*VLOOKUP('Building Breakdown'!$E$8,'Emission factors'!$C$4:$D$8,2,FALSE))</f>
        <v>0</v>
      </c>
      <c r="AS55" s="238">
        <f>IF('Building Breakdown'!$F71='Fabric Changes'!$AS$6,$AK55*'Building Breakdown'!$D$9,0)</f>
        <v>0</v>
      </c>
      <c r="AT55" s="285">
        <f t="shared" si="4"/>
        <v>0</v>
      </c>
      <c r="AU55" s="287">
        <f>IF($AS55=0,0,$AK55*VLOOKUP('Building Breakdown'!$E$9,'Emission factors'!$C$4:$D$8,2,FALSE))</f>
        <v>0</v>
      </c>
      <c r="AV55" s="238">
        <f>IF('Building Breakdown'!$F71='Fabric Changes'!$AV$6,$AK55*'Building Breakdown'!$D$10,0)</f>
        <v>0</v>
      </c>
      <c r="AW55" s="285">
        <f t="shared" si="5"/>
        <v>0</v>
      </c>
      <c r="AX55" s="287">
        <f>IF($AV55=0,0,$AK55*VLOOKUP('Building Breakdown'!$E$10,'Emission factors'!$C$4:$D$8,2,FALSE))</f>
        <v>0</v>
      </c>
      <c r="AY55" s="169"/>
    </row>
    <row r="56" spans="2:51" x14ac:dyDescent="0.3">
      <c r="B56" s="226" t="str">
        <f>IF('Building Breakdown'!C72="","",'Building Breakdown'!C72)</f>
        <v/>
      </c>
      <c r="C56" s="106"/>
      <c r="D56" s="106"/>
      <c r="E56" s="106"/>
      <c r="F56" s="106"/>
      <c r="G56" s="106"/>
      <c r="H56" s="177">
        <f>MIN(IF(EXACT('Fabric Changes'!C56,"Yes"),'Model Assumptions'!$B$21,'Building Breakdown'!V72),'Building Breakdown'!V72)</f>
        <v>0</v>
      </c>
      <c r="I56" s="178">
        <f>MIN(IF(EXACT('Fabric Changes'!D56,"Yes"),'Model Assumptions'!$D$21,'Building Breakdown'!W72),'Building Breakdown'!W72)</f>
        <v>0</v>
      </c>
      <c r="J56" s="182">
        <f>MIN(IF(EXACT('Fabric Changes'!E56,"Yes"),'Model Assumptions'!$E$21,'Building Breakdown'!X72),'Building Breakdown'!X72)</f>
        <v>0</v>
      </c>
      <c r="K56" s="177">
        <f>(((('Building Breakdown'!$S72*$H56)+('Building Breakdown'!$T72*$I56)+('Building Breakdown'!$U72*$J56))*('Building Breakdown'!$G72-(VLOOKUP('Building Breakdown'!$D$7,'Model Assumptions'!$B$50:$O$72,2,FALSE))))/1000)*'Building Breakdown'!$E72</f>
        <v>0</v>
      </c>
      <c r="L56" s="178">
        <f>(((('Building Breakdown'!$S72*$H56)+('Building Breakdown'!$T72*$I56)+('Building Breakdown'!$U72*$J56))*('Building Breakdown'!$G72-(VLOOKUP('Building Breakdown'!$D$7,'Model Assumptions'!$B$50:$O$72,3,FALSE))))/1000)*'Building Breakdown'!$E72</f>
        <v>0</v>
      </c>
      <c r="M56" s="178">
        <f>(((('Building Breakdown'!$S72*$H56)+('Building Breakdown'!$T72*$I56)+('Building Breakdown'!$U72*$J56))*('Building Breakdown'!$G72-(VLOOKUP('Building Breakdown'!$D$7,'Model Assumptions'!$B$50:$O$72,4,FALSE))))/1000)*'Building Breakdown'!$E72</f>
        <v>0</v>
      </c>
      <c r="N56" s="178">
        <f>(((('Building Breakdown'!$S72*$H56)+('Building Breakdown'!$T72*$I56)+('Building Breakdown'!$U72*$J56))*('Building Breakdown'!$G72-(VLOOKUP('Building Breakdown'!$D$7,'Model Assumptions'!$B$50:$O$72,5,FALSE))))/1000)*'Building Breakdown'!$E72</f>
        <v>0</v>
      </c>
      <c r="O56" s="178">
        <f>(((('Building Breakdown'!$S72*$H56)+('Building Breakdown'!$T72*$I56)+('Building Breakdown'!$U72*$J56))*('Building Breakdown'!$G72-(VLOOKUP('Building Breakdown'!$D$7,'Model Assumptions'!$B$50:$O$72,6,FALSE))))/1000)*'Building Breakdown'!$E72</f>
        <v>0</v>
      </c>
      <c r="P56" s="178">
        <f>(((('Building Breakdown'!$S72*$H56)+('Building Breakdown'!$T72*$I56)+('Building Breakdown'!$U72*$J56))*('Building Breakdown'!$G72-(VLOOKUP('Building Breakdown'!$D$7,'Model Assumptions'!$B$50:$O$72,7,FALSE))))/1000)*'Building Breakdown'!$E72</f>
        <v>0</v>
      </c>
      <c r="Q56" s="178">
        <f>(((('Building Breakdown'!$S72*$H56)+('Building Breakdown'!$T72*$I56)+('Building Breakdown'!$U72*$J56))*('Building Breakdown'!$G72-(VLOOKUP('Building Breakdown'!$D$7,'Model Assumptions'!$B$50:$O$72,8,FALSE))))/1000)*'Building Breakdown'!$E72</f>
        <v>0</v>
      </c>
      <c r="R56" s="178">
        <f>(((('Building Breakdown'!$S72*$H56)+('Building Breakdown'!$T72*$I56)+('Building Breakdown'!$U72*$J56))*('Building Breakdown'!$G72-(VLOOKUP('Building Breakdown'!$D$7,'Model Assumptions'!$B$50:$O$72,9,FALSE))))/1000)*'Building Breakdown'!$E72</f>
        <v>0</v>
      </c>
      <c r="S56" s="178">
        <f>(((('Building Breakdown'!$S72*$H56)+('Building Breakdown'!$T72*$I56)+('Building Breakdown'!$U72*$J56))*('Building Breakdown'!$G72-(VLOOKUP('Building Breakdown'!$D$7,'Model Assumptions'!$B$50:$O$72,10,FALSE))))/1000)*'Building Breakdown'!$E72</f>
        <v>0</v>
      </c>
      <c r="T56" s="178">
        <f>(((('Building Breakdown'!$S72*$H56)+('Building Breakdown'!$T72*$I56)+('Building Breakdown'!$U72*$J56))*('Building Breakdown'!$G72-(VLOOKUP('Building Breakdown'!$D$7,'Model Assumptions'!$B$50:$O$72,11,FALSE))))/1000)*'Building Breakdown'!$E72</f>
        <v>0</v>
      </c>
      <c r="U56" s="178">
        <f>(((('Building Breakdown'!$S72*$H56)+('Building Breakdown'!$T72*$I56)+('Building Breakdown'!$U72*$J56))*('Building Breakdown'!$G72-(VLOOKUP('Building Breakdown'!$D$7,'Model Assumptions'!$B$50:$O$72,12,FALSE))))/1000)*'Building Breakdown'!$E72</f>
        <v>0</v>
      </c>
      <c r="V56" s="179">
        <f>(((('Building Breakdown'!$S72*$H56)+('Building Breakdown'!$T72*$I56)+('Building Breakdown'!$U72*$J56))*('Building Breakdown'!$G72-(VLOOKUP('Building Breakdown'!$D$7,'Model Assumptions'!$B$50:$O$72,13,FALSE))))/1000)*'Building Breakdown'!$E72</f>
        <v>0</v>
      </c>
      <c r="W56" s="177">
        <f>K56*VLOOKUP("Hours",'Model Assumptions'!$B$50:$O$72,2,FALSE)*'Building Breakdown'!$H72*'Building Breakdown'!$I72/168</f>
        <v>0</v>
      </c>
      <c r="X56" s="178">
        <f>L56*VLOOKUP("Hours",'Model Assumptions'!$B$50:$O$72,3,FALSE)*'Building Breakdown'!$H72*'Building Breakdown'!$I72/168</f>
        <v>0</v>
      </c>
      <c r="Y56" s="178">
        <f>M56*VLOOKUP("Hours",'Model Assumptions'!$B$50:$O$72,4,FALSE)*'Building Breakdown'!$H72*'Building Breakdown'!$I72/168</f>
        <v>0</v>
      </c>
      <c r="Z56" s="178">
        <f>N56*VLOOKUP("Hours",'Model Assumptions'!$B$50:$O$72,5,FALSE)*'Building Breakdown'!$H72*'Building Breakdown'!$I72/168</f>
        <v>0</v>
      </c>
      <c r="AA56" s="178">
        <f>O56*VLOOKUP("Hours",'Model Assumptions'!$B$50:$O$72,6,FALSE)*'Building Breakdown'!$H72*'Building Breakdown'!$I72/168</f>
        <v>0</v>
      </c>
      <c r="AB56" s="178">
        <f>P56*VLOOKUP("Hours",'Model Assumptions'!$B$50:$O$72,7,FALSE)*'Building Breakdown'!$H72*'Building Breakdown'!$I72/168</f>
        <v>0</v>
      </c>
      <c r="AC56" s="178">
        <f>Q56*VLOOKUP("Hours",'Model Assumptions'!$B$50:$O$72,8,FALSE)*'Building Breakdown'!$H72*'Building Breakdown'!$I72/168</f>
        <v>0</v>
      </c>
      <c r="AD56" s="178">
        <f>R56*VLOOKUP("Hours",'Model Assumptions'!$B$50:$O$72,9,FALSE)*'Building Breakdown'!$H72*'Building Breakdown'!$I72/168</f>
        <v>0</v>
      </c>
      <c r="AE56" s="178">
        <f>S56*VLOOKUP("Hours",'Model Assumptions'!$B$50:$O$72,10,FALSE)*'Building Breakdown'!$H72*'Building Breakdown'!$I72/168</f>
        <v>0</v>
      </c>
      <c r="AF56" s="178">
        <f>T56*VLOOKUP("Hours",'Model Assumptions'!$B$50:$O$72,11,FALSE)*'Building Breakdown'!$H72*'Building Breakdown'!$I72/168</f>
        <v>0</v>
      </c>
      <c r="AG56" s="178">
        <f>U56*VLOOKUP("Hours",'Model Assumptions'!$B$50:$O$72,12,FALSE)*'Building Breakdown'!$H72*'Building Breakdown'!$I72/168</f>
        <v>0</v>
      </c>
      <c r="AH56" s="179">
        <f>V56*VLOOKUP("Hours",'Model Assumptions'!$B$50:$O$72,13,FALSE)*'Building Breakdown'!$H72*'Building Breakdown'!$I72/168</f>
        <v>0</v>
      </c>
      <c r="AI56" s="234">
        <f t="shared" si="2"/>
        <v>0</v>
      </c>
      <c r="AJ56" s="234">
        <f>'Building Breakdown'!AW72</f>
        <v>0</v>
      </c>
      <c r="AK56" s="234">
        <f t="shared" si="6"/>
        <v>0</v>
      </c>
      <c r="AL56" s="235">
        <f>IF(EXACT('Fabric Changes'!C56,"Yes"),IF('Building Breakdown'!$D$5="High_Security",(HLOOKUP(G56,'Model Assumptions'!$C$43:$E$45,3,FALSE)*'Building Breakdown'!S72),(HLOOKUP(G56,'Model Assumptions'!$C$43:$E$45,2,FALSE)*'Building Breakdown'!S72)),0)</f>
        <v>0</v>
      </c>
      <c r="AM56" s="236">
        <f>IF(EXACT('Fabric Changes'!D56,"Yes"),IF('Building Breakdown'!$D$5="High_Security",('Model Assumptions'!$G$45*'Building Breakdown'!T72),('Model Assumptions'!$G$44*'Building Breakdown'!T72)),0)</f>
        <v>0</v>
      </c>
      <c r="AN56" s="237">
        <f>IF(EXACT('Fabric Changes'!E56,"Yes"),IF('Building Breakdown'!$D$5="High_Security",(HLOOKUP(F56,'Model Assumptions'!C$43:K$45,3,FALSE)*'Building Breakdown'!U72),(HLOOKUP(F56,'Model Assumptions'!C$43:K$45,2,FALSE)*'Building Breakdown'!U72)),0)</f>
        <v>0</v>
      </c>
      <c r="AO56" s="238">
        <f t="shared" si="3"/>
        <v>0</v>
      </c>
      <c r="AP56" s="238">
        <f>IF('Building Breakdown'!$F72='Fabric Changes'!$AP$6,$AK56*'Building Breakdown'!$D$8,0)</f>
        <v>0</v>
      </c>
      <c r="AQ56" s="285">
        <f t="shared" si="1"/>
        <v>0</v>
      </c>
      <c r="AR56" s="287">
        <f>IF($AP56=0,0,$AK56*VLOOKUP('Building Breakdown'!$E$8,'Emission factors'!$C$4:$D$8,2,FALSE))</f>
        <v>0</v>
      </c>
      <c r="AS56" s="238">
        <f>IF('Building Breakdown'!$F72='Fabric Changes'!$AS$6,$AK56*'Building Breakdown'!$D$9,0)</f>
        <v>0</v>
      </c>
      <c r="AT56" s="285">
        <f t="shared" si="4"/>
        <v>0</v>
      </c>
      <c r="AU56" s="287">
        <f>IF($AS56=0,0,$AK56*VLOOKUP('Building Breakdown'!$E$9,'Emission factors'!$C$4:$D$8,2,FALSE))</f>
        <v>0</v>
      </c>
      <c r="AV56" s="238">
        <f>IF('Building Breakdown'!$F72='Fabric Changes'!$AV$6,$AK56*'Building Breakdown'!$D$10,0)</f>
        <v>0</v>
      </c>
      <c r="AW56" s="285">
        <f t="shared" si="5"/>
        <v>0</v>
      </c>
      <c r="AX56" s="287">
        <f>IF($AV56=0,0,$AK56*VLOOKUP('Building Breakdown'!$E$10,'Emission factors'!$C$4:$D$8,2,FALSE))</f>
        <v>0</v>
      </c>
      <c r="AY56" s="169"/>
    </row>
    <row r="57" spans="2:51" x14ac:dyDescent="0.3">
      <c r="B57" s="226" t="str">
        <f>IF('Building Breakdown'!C73="","",'Building Breakdown'!C73)</f>
        <v/>
      </c>
      <c r="C57" s="106"/>
      <c r="D57" s="106"/>
      <c r="E57" s="106"/>
      <c r="F57" s="106"/>
      <c r="G57" s="106"/>
      <c r="H57" s="177">
        <f>MIN(IF(EXACT('Fabric Changes'!C57,"Yes"),'Model Assumptions'!$B$21,'Building Breakdown'!V73),'Building Breakdown'!V73)</f>
        <v>0</v>
      </c>
      <c r="I57" s="178">
        <f>MIN(IF(EXACT('Fabric Changes'!D57,"Yes"),'Model Assumptions'!$D$21,'Building Breakdown'!W73),'Building Breakdown'!W73)</f>
        <v>0</v>
      </c>
      <c r="J57" s="182">
        <f>MIN(IF(EXACT('Fabric Changes'!E57,"Yes"),'Model Assumptions'!$E$21,'Building Breakdown'!X73),'Building Breakdown'!X73)</f>
        <v>0</v>
      </c>
      <c r="K57" s="177">
        <f>(((('Building Breakdown'!$S73*$H57)+('Building Breakdown'!$T73*$I57)+('Building Breakdown'!$U73*$J57))*('Building Breakdown'!$G73-(VLOOKUP('Building Breakdown'!$D$7,'Model Assumptions'!$B$50:$O$72,2,FALSE))))/1000)*'Building Breakdown'!$E73</f>
        <v>0</v>
      </c>
      <c r="L57" s="178">
        <f>(((('Building Breakdown'!$S73*$H57)+('Building Breakdown'!$T73*$I57)+('Building Breakdown'!$U73*$J57))*('Building Breakdown'!$G73-(VLOOKUP('Building Breakdown'!$D$7,'Model Assumptions'!$B$50:$O$72,3,FALSE))))/1000)*'Building Breakdown'!$E73</f>
        <v>0</v>
      </c>
      <c r="M57" s="178">
        <f>(((('Building Breakdown'!$S73*$H57)+('Building Breakdown'!$T73*$I57)+('Building Breakdown'!$U73*$J57))*('Building Breakdown'!$G73-(VLOOKUP('Building Breakdown'!$D$7,'Model Assumptions'!$B$50:$O$72,4,FALSE))))/1000)*'Building Breakdown'!$E73</f>
        <v>0</v>
      </c>
      <c r="N57" s="178">
        <f>(((('Building Breakdown'!$S73*$H57)+('Building Breakdown'!$T73*$I57)+('Building Breakdown'!$U73*$J57))*('Building Breakdown'!$G73-(VLOOKUP('Building Breakdown'!$D$7,'Model Assumptions'!$B$50:$O$72,5,FALSE))))/1000)*'Building Breakdown'!$E73</f>
        <v>0</v>
      </c>
      <c r="O57" s="178">
        <f>(((('Building Breakdown'!$S73*$H57)+('Building Breakdown'!$T73*$I57)+('Building Breakdown'!$U73*$J57))*('Building Breakdown'!$G73-(VLOOKUP('Building Breakdown'!$D$7,'Model Assumptions'!$B$50:$O$72,6,FALSE))))/1000)*'Building Breakdown'!$E73</f>
        <v>0</v>
      </c>
      <c r="P57" s="178">
        <f>(((('Building Breakdown'!$S73*$H57)+('Building Breakdown'!$T73*$I57)+('Building Breakdown'!$U73*$J57))*('Building Breakdown'!$G73-(VLOOKUP('Building Breakdown'!$D$7,'Model Assumptions'!$B$50:$O$72,7,FALSE))))/1000)*'Building Breakdown'!$E73</f>
        <v>0</v>
      </c>
      <c r="Q57" s="178">
        <f>(((('Building Breakdown'!$S73*$H57)+('Building Breakdown'!$T73*$I57)+('Building Breakdown'!$U73*$J57))*('Building Breakdown'!$G73-(VLOOKUP('Building Breakdown'!$D$7,'Model Assumptions'!$B$50:$O$72,8,FALSE))))/1000)*'Building Breakdown'!$E73</f>
        <v>0</v>
      </c>
      <c r="R57" s="178">
        <f>(((('Building Breakdown'!$S73*$H57)+('Building Breakdown'!$T73*$I57)+('Building Breakdown'!$U73*$J57))*('Building Breakdown'!$G73-(VLOOKUP('Building Breakdown'!$D$7,'Model Assumptions'!$B$50:$O$72,9,FALSE))))/1000)*'Building Breakdown'!$E73</f>
        <v>0</v>
      </c>
      <c r="S57" s="178">
        <f>(((('Building Breakdown'!$S73*$H57)+('Building Breakdown'!$T73*$I57)+('Building Breakdown'!$U73*$J57))*('Building Breakdown'!$G73-(VLOOKUP('Building Breakdown'!$D$7,'Model Assumptions'!$B$50:$O$72,10,FALSE))))/1000)*'Building Breakdown'!$E73</f>
        <v>0</v>
      </c>
      <c r="T57" s="178">
        <f>(((('Building Breakdown'!$S73*$H57)+('Building Breakdown'!$T73*$I57)+('Building Breakdown'!$U73*$J57))*('Building Breakdown'!$G73-(VLOOKUP('Building Breakdown'!$D$7,'Model Assumptions'!$B$50:$O$72,11,FALSE))))/1000)*'Building Breakdown'!$E73</f>
        <v>0</v>
      </c>
      <c r="U57" s="178">
        <f>(((('Building Breakdown'!$S73*$H57)+('Building Breakdown'!$T73*$I57)+('Building Breakdown'!$U73*$J57))*('Building Breakdown'!$G73-(VLOOKUP('Building Breakdown'!$D$7,'Model Assumptions'!$B$50:$O$72,12,FALSE))))/1000)*'Building Breakdown'!$E73</f>
        <v>0</v>
      </c>
      <c r="V57" s="179">
        <f>(((('Building Breakdown'!$S73*$H57)+('Building Breakdown'!$T73*$I57)+('Building Breakdown'!$U73*$J57))*('Building Breakdown'!$G73-(VLOOKUP('Building Breakdown'!$D$7,'Model Assumptions'!$B$50:$O$72,13,FALSE))))/1000)*'Building Breakdown'!$E73</f>
        <v>0</v>
      </c>
      <c r="W57" s="177">
        <f>K57*VLOOKUP("Hours",'Model Assumptions'!$B$50:$O$72,2,FALSE)*'Building Breakdown'!$H73*'Building Breakdown'!$I73/168</f>
        <v>0</v>
      </c>
      <c r="X57" s="178">
        <f>L57*VLOOKUP("Hours",'Model Assumptions'!$B$50:$O$72,3,FALSE)*'Building Breakdown'!$H73*'Building Breakdown'!$I73/168</f>
        <v>0</v>
      </c>
      <c r="Y57" s="178">
        <f>M57*VLOOKUP("Hours",'Model Assumptions'!$B$50:$O$72,4,FALSE)*'Building Breakdown'!$H73*'Building Breakdown'!$I73/168</f>
        <v>0</v>
      </c>
      <c r="Z57" s="178">
        <f>N57*VLOOKUP("Hours",'Model Assumptions'!$B$50:$O$72,5,FALSE)*'Building Breakdown'!$H73*'Building Breakdown'!$I73/168</f>
        <v>0</v>
      </c>
      <c r="AA57" s="178">
        <f>O57*VLOOKUP("Hours",'Model Assumptions'!$B$50:$O$72,6,FALSE)*'Building Breakdown'!$H73*'Building Breakdown'!$I73/168</f>
        <v>0</v>
      </c>
      <c r="AB57" s="178">
        <f>P57*VLOOKUP("Hours",'Model Assumptions'!$B$50:$O$72,7,FALSE)*'Building Breakdown'!$H73*'Building Breakdown'!$I73/168</f>
        <v>0</v>
      </c>
      <c r="AC57" s="178">
        <f>Q57*VLOOKUP("Hours",'Model Assumptions'!$B$50:$O$72,8,FALSE)*'Building Breakdown'!$H73*'Building Breakdown'!$I73/168</f>
        <v>0</v>
      </c>
      <c r="AD57" s="178">
        <f>R57*VLOOKUP("Hours",'Model Assumptions'!$B$50:$O$72,9,FALSE)*'Building Breakdown'!$H73*'Building Breakdown'!$I73/168</f>
        <v>0</v>
      </c>
      <c r="AE57" s="178">
        <f>S57*VLOOKUP("Hours",'Model Assumptions'!$B$50:$O$72,10,FALSE)*'Building Breakdown'!$H73*'Building Breakdown'!$I73/168</f>
        <v>0</v>
      </c>
      <c r="AF57" s="178">
        <f>T57*VLOOKUP("Hours",'Model Assumptions'!$B$50:$O$72,11,FALSE)*'Building Breakdown'!$H73*'Building Breakdown'!$I73/168</f>
        <v>0</v>
      </c>
      <c r="AG57" s="178">
        <f>U57*VLOOKUP("Hours",'Model Assumptions'!$B$50:$O$72,12,FALSE)*'Building Breakdown'!$H73*'Building Breakdown'!$I73/168</f>
        <v>0</v>
      </c>
      <c r="AH57" s="179">
        <f>V57*VLOOKUP("Hours",'Model Assumptions'!$B$50:$O$72,13,FALSE)*'Building Breakdown'!$H73*'Building Breakdown'!$I73/168</f>
        <v>0</v>
      </c>
      <c r="AI57" s="234">
        <f t="shared" si="2"/>
        <v>0</v>
      </c>
      <c r="AJ57" s="234">
        <f>'Building Breakdown'!AW73</f>
        <v>0</v>
      </c>
      <c r="AK57" s="234">
        <f t="shared" si="6"/>
        <v>0</v>
      </c>
      <c r="AL57" s="235">
        <f>IF(EXACT('Fabric Changes'!C57,"Yes"),IF('Building Breakdown'!$D$5="High_Security",(HLOOKUP(G57,'Model Assumptions'!$C$43:$E$45,3,FALSE)*'Building Breakdown'!S73),(HLOOKUP(G57,'Model Assumptions'!$C$43:$E$45,2,FALSE)*'Building Breakdown'!S73)),0)</f>
        <v>0</v>
      </c>
      <c r="AM57" s="236">
        <f>IF(EXACT('Fabric Changes'!D57,"Yes"),IF('Building Breakdown'!$D$5="High_Security",('Model Assumptions'!$G$45*'Building Breakdown'!T73),('Model Assumptions'!$G$44*'Building Breakdown'!T73)),0)</f>
        <v>0</v>
      </c>
      <c r="AN57" s="237">
        <f>IF(EXACT('Fabric Changes'!E57,"Yes"),IF('Building Breakdown'!$D$5="High_Security",(HLOOKUP(F57,'Model Assumptions'!C$43:K$45,3,FALSE)*'Building Breakdown'!U73),(HLOOKUP(F57,'Model Assumptions'!C$43:K$45,2,FALSE)*'Building Breakdown'!U73)),0)</f>
        <v>0</v>
      </c>
      <c r="AO57" s="238">
        <f t="shared" si="3"/>
        <v>0</v>
      </c>
      <c r="AP57" s="238">
        <f>IF('Building Breakdown'!$F73='Fabric Changes'!$AP$6,$AK57*'Building Breakdown'!$D$8,0)</f>
        <v>0</v>
      </c>
      <c r="AQ57" s="285">
        <f t="shared" si="1"/>
        <v>0</v>
      </c>
      <c r="AR57" s="287">
        <f>IF($AP57=0,0,$AK57*VLOOKUP('Building Breakdown'!$E$8,'Emission factors'!$C$4:$D$8,2,FALSE))</f>
        <v>0</v>
      </c>
      <c r="AS57" s="238">
        <f>IF('Building Breakdown'!$F73='Fabric Changes'!$AS$6,$AK57*'Building Breakdown'!$D$9,0)</f>
        <v>0</v>
      </c>
      <c r="AT57" s="285">
        <f t="shared" si="4"/>
        <v>0</v>
      </c>
      <c r="AU57" s="287">
        <f>IF($AS57=0,0,$AK57*VLOOKUP('Building Breakdown'!$E$9,'Emission factors'!$C$4:$D$8,2,FALSE))</f>
        <v>0</v>
      </c>
      <c r="AV57" s="238">
        <f>IF('Building Breakdown'!$F73='Fabric Changes'!$AV$6,$AK57*'Building Breakdown'!$D$10,0)</f>
        <v>0</v>
      </c>
      <c r="AW57" s="285">
        <f t="shared" si="5"/>
        <v>0</v>
      </c>
      <c r="AX57" s="287">
        <f>IF($AV57=0,0,$AK57*VLOOKUP('Building Breakdown'!$E$10,'Emission factors'!$C$4:$D$8,2,FALSE))</f>
        <v>0</v>
      </c>
      <c r="AY57" s="169"/>
    </row>
    <row r="58" spans="2:51" x14ac:dyDescent="0.3">
      <c r="B58" s="226" t="str">
        <f>IF('Building Breakdown'!C74="","",'Building Breakdown'!C74)</f>
        <v/>
      </c>
      <c r="C58" s="106"/>
      <c r="D58" s="106"/>
      <c r="E58" s="106"/>
      <c r="F58" s="106"/>
      <c r="G58" s="106"/>
      <c r="H58" s="177">
        <f>MIN(IF(EXACT('Fabric Changes'!C58,"Yes"),'Model Assumptions'!$B$21,'Building Breakdown'!V74),'Building Breakdown'!V74)</f>
        <v>0</v>
      </c>
      <c r="I58" s="178">
        <f>MIN(IF(EXACT('Fabric Changes'!D58,"Yes"),'Model Assumptions'!$D$21,'Building Breakdown'!W74),'Building Breakdown'!W74)</f>
        <v>0</v>
      </c>
      <c r="J58" s="182">
        <f>MIN(IF(EXACT('Fabric Changes'!E58,"Yes"),'Model Assumptions'!$E$21,'Building Breakdown'!X74),'Building Breakdown'!X74)</f>
        <v>0</v>
      </c>
      <c r="K58" s="177">
        <f>(((('Building Breakdown'!$S74*$H58)+('Building Breakdown'!$T74*$I58)+('Building Breakdown'!$U74*$J58))*('Building Breakdown'!$G74-(VLOOKUP('Building Breakdown'!$D$7,'Model Assumptions'!$B$50:$O$72,2,FALSE))))/1000)*'Building Breakdown'!$E74</f>
        <v>0</v>
      </c>
      <c r="L58" s="178">
        <f>(((('Building Breakdown'!$S74*$H58)+('Building Breakdown'!$T74*$I58)+('Building Breakdown'!$U74*$J58))*('Building Breakdown'!$G74-(VLOOKUP('Building Breakdown'!$D$7,'Model Assumptions'!$B$50:$O$72,3,FALSE))))/1000)*'Building Breakdown'!$E74</f>
        <v>0</v>
      </c>
      <c r="M58" s="178">
        <f>(((('Building Breakdown'!$S74*$H58)+('Building Breakdown'!$T74*$I58)+('Building Breakdown'!$U74*$J58))*('Building Breakdown'!$G74-(VLOOKUP('Building Breakdown'!$D$7,'Model Assumptions'!$B$50:$O$72,4,FALSE))))/1000)*'Building Breakdown'!$E74</f>
        <v>0</v>
      </c>
      <c r="N58" s="178">
        <f>(((('Building Breakdown'!$S74*$H58)+('Building Breakdown'!$T74*$I58)+('Building Breakdown'!$U74*$J58))*('Building Breakdown'!$G74-(VLOOKUP('Building Breakdown'!$D$7,'Model Assumptions'!$B$50:$O$72,5,FALSE))))/1000)*'Building Breakdown'!$E74</f>
        <v>0</v>
      </c>
      <c r="O58" s="178">
        <f>(((('Building Breakdown'!$S74*$H58)+('Building Breakdown'!$T74*$I58)+('Building Breakdown'!$U74*$J58))*('Building Breakdown'!$G74-(VLOOKUP('Building Breakdown'!$D$7,'Model Assumptions'!$B$50:$O$72,6,FALSE))))/1000)*'Building Breakdown'!$E74</f>
        <v>0</v>
      </c>
      <c r="P58" s="178">
        <f>(((('Building Breakdown'!$S74*$H58)+('Building Breakdown'!$T74*$I58)+('Building Breakdown'!$U74*$J58))*('Building Breakdown'!$G74-(VLOOKUP('Building Breakdown'!$D$7,'Model Assumptions'!$B$50:$O$72,7,FALSE))))/1000)*'Building Breakdown'!$E74</f>
        <v>0</v>
      </c>
      <c r="Q58" s="178">
        <f>(((('Building Breakdown'!$S74*$H58)+('Building Breakdown'!$T74*$I58)+('Building Breakdown'!$U74*$J58))*('Building Breakdown'!$G74-(VLOOKUP('Building Breakdown'!$D$7,'Model Assumptions'!$B$50:$O$72,8,FALSE))))/1000)*'Building Breakdown'!$E74</f>
        <v>0</v>
      </c>
      <c r="R58" s="178">
        <f>(((('Building Breakdown'!$S74*$H58)+('Building Breakdown'!$T74*$I58)+('Building Breakdown'!$U74*$J58))*('Building Breakdown'!$G74-(VLOOKUP('Building Breakdown'!$D$7,'Model Assumptions'!$B$50:$O$72,9,FALSE))))/1000)*'Building Breakdown'!$E74</f>
        <v>0</v>
      </c>
      <c r="S58" s="178">
        <f>(((('Building Breakdown'!$S74*$H58)+('Building Breakdown'!$T74*$I58)+('Building Breakdown'!$U74*$J58))*('Building Breakdown'!$G74-(VLOOKUP('Building Breakdown'!$D$7,'Model Assumptions'!$B$50:$O$72,10,FALSE))))/1000)*'Building Breakdown'!$E74</f>
        <v>0</v>
      </c>
      <c r="T58" s="178">
        <f>(((('Building Breakdown'!$S74*$H58)+('Building Breakdown'!$T74*$I58)+('Building Breakdown'!$U74*$J58))*('Building Breakdown'!$G74-(VLOOKUP('Building Breakdown'!$D$7,'Model Assumptions'!$B$50:$O$72,11,FALSE))))/1000)*'Building Breakdown'!$E74</f>
        <v>0</v>
      </c>
      <c r="U58" s="178">
        <f>(((('Building Breakdown'!$S74*$H58)+('Building Breakdown'!$T74*$I58)+('Building Breakdown'!$U74*$J58))*('Building Breakdown'!$G74-(VLOOKUP('Building Breakdown'!$D$7,'Model Assumptions'!$B$50:$O$72,12,FALSE))))/1000)*'Building Breakdown'!$E74</f>
        <v>0</v>
      </c>
      <c r="V58" s="179">
        <f>(((('Building Breakdown'!$S74*$H58)+('Building Breakdown'!$T74*$I58)+('Building Breakdown'!$U74*$J58))*('Building Breakdown'!$G74-(VLOOKUP('Building Breakdown'!$D$7,'Model Assumptions'!$B$50:$O$72,13,FALSE))))/1000)*'Building Breakdown'!$E74</f>
        <v>0</v>
      </c>
      <c r="W58" s="177">
        <f>K58*VLOOKUP("Hours",'Model Assumptions'!$B$50:$O$72,2,FALSE)*'Building Breakdown'!$H74*'Building Breakdown'!$I74/168</f>
        <v>0</v>
      </c>
      <c r="X58" s="178">
        <f>L58*VLOOKUP("Hours",'Model Assumptions'!$B$50:$O$72,3,FALSE)*'Building Breakdown'!$H74*'Building Breakdown'!$I74/168</f>
        <v>0</v>
      </c>
      <c r="Y58" s="178">
        <f>M58*VLOOKUP("Hours",'Model Assumptions'!$B$50:$O$72,4,FALSE)*'Building Breakdown'!$H74*'Building Breakdown'!$I74/168</f>
        <v>0</v>
      </c>
      <c r="Z58" s="178">
        <f>N58*VLOOKUP("Hours",'Model Assumptions'!$B$50:$O$72,5,FALSE)*'Building Breakdown'!$H74*'Building Breakdown'!$I74/168</f>
        <v>0</v>
      </c>
      <c r="AA58" s="178">
        <f>O58*VLOOKUP("Hours",'Model Assumptions'!$B$50:$O$72,6,FALSE)*'Building Breakdown'!$H74*'Building Breakdown'!$I74/168</f>
        <v>0</v>
      </c>
      <c r="AB58" s="178">
        <f>P58*VLOOKUP("Hours",'Model Assumptions'!$B$50:$O$72,7,FALSE)*'Building Breakdown'!$H74*'Building Breakdown'!$I74/168</f>
        <v>0</v>
      </c>
      <c r="AC58" s="178">
        <f>Q58*VLOOKUP("Hours",'Model Assumptions'!$B$50:$O$72,8,FALSE)*'Building Breakdown'!$H74*'Building Breakdown'!$I74/168</f>
        <v>0</v>
      </c>
      <c r="AD58" s="178">
        <f>R58*VLOOKUP("Hours",'Model Assumptions'!$B$50:$O$72,9,FALSE)*'Building Breakdown'!$H74*'Building Breakdown'!$I74/168</f>
        <v>0</v>
      </c>
      <c r="AE58" s="178">
        <f>S58*VLOOKUP("Hours",'Model Assumptions'!$B$50:$O$72,10,FALSE)*'Building Breakdown'!$H74*'Building Breakdown'!$I74/168</f>
        <v>0</v>
      </c>
      <c r="AF58" s="178">
        <f>T58*VLOOKUP("Hours",'Model Assumptions'!$B$50:$O$72,11,FALSE)*'Building Breakdown'!$H74*'Building Breakdown'!$I74/168</f>
        <v>0</v>
      </c>
      <c r="AG58" s="178">
        <f>U58*VLOOKUP("Hours",'Model Assumptions'!$B$50:$O$72,12,FALSE)*'Building Breakdown'!$H74*'Building Breakdown'!$I74/168</f>
        <v>0</v>
      </c>
      <c r="AH58" s="179">
        <f>V58*VLOOKUP("Hours",'Model Assumptions'!$B$50:$O$72,13,FALSE)*'Building Breakdown'!$H74*'Building Breakdown'!$I74/168</f>
        <v>0</v>
      </c>
      <c r="AI58" s="234">
        <f t="shared" si="2"/>
        <v>0</v>
      </c>
      <c r="AJ58" s="234">
        <f>'Building Breakdown'!AW74</f>
        <v>0</v>
      </c>
      <c r="AK58" s="234">
        <f t="shared" si="6"/>
        <v>0</v>
      </c>
      <c r="AL58" s="235">
        <f>IF(EXACT('Fabric Changes'!C58,"Yes"),IF('Building Breakdown'!$D$5="High_Security",(HLOOKUP(G58,'Model Assumptions'!$C$43:$E$45,3,FALSE)*'Building Breakdown'!S74),(HLOOKUP(G58,'Model Assumptions'!$C$43:$E$45,2,FALSE)*'Building Breakdown'!S74)),0)</f>
        <v>0</v>
      </c>
      <c r="AM58" s="236">
        <f>IF(EXACT('Fabric Changes'!D58,"Yes"),IF('Building Breakdown'!$D$5="High_Security",('Model Assumptions'!$G$45*'Building Breakdown'!T74),('Model Assumptions'!$G$44*'Building Breakdown'!T74)),0)</f>
        <v>0</v>
      </c>
      <c r="AN58" s="237">
        <f>IF(EXACT('Fabric Changes'!E58,"Yes"),IF('Building Breakdown'!$D$5="High_Security",(HLOOKUP(F58,'Model Assumptions'!C$43:K$45,3,FALSE)*'Building Breakdown'!U74),(HLOOKUP(F58,'Model Assumptions'!C$43:K$45,2,FALSE)*'Building Breakdown'!U74)),0)</f>
        <v>0</v>
      </c>
      <c r="AO58" s="238">
        <f t="shared" si="3"/>
        <v>0</v>
      </c>
      <c r="AP58" s="238">
        <f>IF('Building Breakdown'!$F74='Fabric Changes'!$AP$6,$AK58*'Building Breakdown'!$D$8,0)</f>
        <v>0</v>
      </c>
      <c r="AQ58" s="285">
        <f t="shared" si="1"/>
        <v>0</v>
      </c>
      <c r="AR58" s="287">
        <f>IF($AP58=0,0,$AK58*VLOOKUP('Building Breakdown'!$E$8,'Emission factors'!$C$4:$D$8,2,FALSE))</f>
        <v>0</v>
      </c>
      <c r="AS58" s="238">
        <f>IF('Building Breakdown'!$F74='Fabric Changes'!$AS$6,$AK58*'Building Breakdown'!$D$9,0)</f>
        <v>0</v>
      </c>
      <c r="AT58" s="285">
        <f t="shared" si="4"/>
        <v>0</v>
      </c>
      <c r="AU58" s="287">
        <f>IF($AS58=0,0,$AK58*VLOOKUP('Building Breakdown'!$E$9,'Emission factors'!$C$4:$D$8,2,FALSE))</f>
        <v>0</v>
      </c>
      <c r="AV58" s="238">
        <f>IF('Building Breakdown'!$F74='Fabric Changes'!$AV$6,$AK58*'Building Breakdown'!$D$10,0)</f>
        <v>0</v>
      </c>
      <c r="AW58" s="285">
        <f t="shared" si="5"/>
        <v>0</v>
      </c>
      <c r="AX58" s="287">
        <f>IF($AV58=0,0,$AK58*VLOOKUP('Building Breakdown'!$E$10,'Emission factors'!$C$4:$D$8,2,FALSE))</f>
        <v>0</v>
      </c>
      <c r="AY58" s="169"/>
    </row>
    <row r="59" spans="2:51" x14ac:dyDescent="0.3">
      <c r="B59" s="226" t="str">
        <f>IF('Building Breakdown'!C75="","",'Building Breakdown'!C75)</f>
        <v/>
      </c>
      <c r="C59" s="106"/>
      <c r="D59" s="106"/>
      <c r="E59" s="106"/>
      <c r="F59" s="106"/>
      <c r="G59" s="106"/>
      <c r="H59" s="177">
        <f>MIN(IF(EXACT('Fabric Changes'!C59,"Yes"),'Model Assumptions'!$B$21,'Building Breakdown'!V75),'Building Breakdown'!V75)</f>
        <v>0</v>
      </c>
      <c r="I59" s="178">
        <f>MIN(IF(EXACT('Fabric Changes'!D59,"Yes"),'Model Assumptions'!$D$21,'Building Breakdown'!W75),'Building Breakdown'!W75)</f>
        <v>0</v>
      </c>
      <c r="J59" s="182">
        <f>MIN(IF(EXACT('Fabric Changes'!E59,"Yes"),'Model Assumptions'!$E$21,'Building Breakdown'!X75),'Building Breakdown'!X75)</f>
        <v>0</v>
      </c>
      <c r="K59" s="177">
        <f>(((('Building Breakdown'!$S75*$H59)+('Building Breakdown'!$T75*$I59)+('Building Breakdown'!$U75*$J59))*('Building Breakdown'!$G75-(VLOOKUP('Building Breakdown'!$D$7,'Model Assumptions'!$B$50:$O$72,2,FALSE))))/1000)*'Building Breakdown'!$E75</f>
        <v>0</v>
      </c>
      <c r="L59" s="178">
        <f>(((('Building Breakdown'!$S75*$H59)+('Building Breakdown'!$T75*$I59)+('Building Breakdown'!$U75*$J59))*('Building Breakdown'!$G75-(VLOOKUP('Building Breakdown'!$D$7,'Model Assumptions'!$B$50:$O$72,3,FALSE))))/1000)*'Building Breakdown'!$E75</f>
        <v>0</v>
      </c>
      <c r="M59" s="178">
        <f>(((('Building Breakdown'!$S75*$H59)+('Building Breakdown'!$T75*$I59)+('Building Breakdown'!$U75*$J59))*('Building Breakdown'!$G75-(VLOOKUP('Building Breakdown'!$D$7,'Model Assumptions'!$B$50:$O$72,4,FALSE))))/1000)*'Building Breakdown'!$E75</f>
        <v>0</v>
      </c>
      <c r="N59" s="178">
        <f>(((('Building Breakdown'!$S75*$H59)+('Building Breakdown'!$T75*$I59)+('Building Breakdown'!$U75*$J59))*('Building Breakdown'!$G75-(VLOOKUP('Building Breakdown'!$D$7,'Model Assumptions'!$B$50:$O$72,5,FALSE))))/1000)*'Building Breakdown'!$E75</f>
        <v>0</v>
      </c>
      <c r="O59" s="178">
        <f>(((('Building Breakdown'!$S75*$H59)+('Building Breakdown'!$T75*$I59)+('Building Breakdown'!$U75*$J59))*('Building Breakdown'!$G75-(VLOOKUP('Building Breakdown'!$D$7,'Model Assumptions'!$B$50:$O$72,6,FALSE))))/1000)*'Building Breakdown'!$E75</f>
        <v>0</v>
      </c>
      <c r="P59" s="178">
        <f>(((('Building Breakdown'!$S75*$H59)+('Building Breakdown'!$T75*$I59)+('Building Breakdown'!$U75*$J59))*('Building Breakdown'!$G75-(VLOOKUP('Building Breakdown'!$D$7,'Model Assumptions'!$B$50:$O$72,7,FALSE))))/1000)*'Building Breakdown'!$E75</f>
        <v>0</v>
      </c>
      <c r="Q59" s="178">
        <f>(((('Building Breakdown'!$S75*$H59)+('Building Breakdown'!$T75*$I59)+('Building Breakdown'!$U75*$J59))*('Building Breakdown'!$G75-(VLOOKUP('Building Breakdown'!$D$7,'Model Assumptions'!$B$50:$O$72,8,FALSE))))/1000)*'Building Breakdown'!$E75</f>
        <v>0</v>
      </c>
      <c r="R59" s="178">
        <f>(((('Building Breakdown'!$S75*$H59)+('Building Breakdown'!$T75*$I59)+('Building Breakdown'!$U75*$J59))*('Building Breakdown'!$G75-(VLOOKUP('Building Breakdown'!$D$7,'Model Assumptions'!$B$50:$O$72,9,FALSE))))/1000)*'Building Breakdown'!$E75</f>
        <v>0</v>
      </c>
      <c r="S59" s="178">
        <f>(((('Building Breakdown'!$S75*$H59)+('Building Breakdown'!$T75*$I59)+('Building Breakdown'!$U75*$J59))*('Building Breakdown'!$G75-(VLOOKUP('Building Breakdown'!$D$7,'Model Assumptions'!$B$50:$O$72,10,FALSE))))/1000)*'Building Breakdown'!$E75</f>
        <v>0</v>
      </c>
      <c r="T59" s="178">
        <f>(((('Building Breakdown'!$S75*$H59)+('Building Breakdown'!$T75*$I59)+('Building Breakdown'!$U75*$J59))*('Building Breakdown'!$G75-(VLOOKUP('Building Breakdown'!$D$7,'Model Assumptions'!$B$50:$O$72,11,FALSE))))/1000)*'Building Breakdown'!$E75</f>
        <v>0</v>
      </c>
      <c r="U59" s="178">
        <f>(((('Building Breakdown'!$S75*$H59)+('Building Breakdown'!$T75*$I59)+('Building Breakdown'!$U75*$J59))*('Building Breakdown'!$G75-(VLOOKUP('Building Breakdown'!$D$7,'Model Assumptions'!$B$50:$O$72,12,FALSE))))/1000)*'Building Breakdown'!$E75</f>
        <v>0</v>
      </c>
      <c r="V59" s="179">
        <f>(((('Building Breakdown'!$S75*$H59)+('Building Breakdown'!$T75*$I59)+('Building Breakdown'!$U75*$J59))*('Building Breakdown'!$G75-(VLOOKUP('Building Breakdown'!$D$7,'Model Assumptions'!$B$50:$O$72,13,FALSE))))/1000)*'Building Breakdown'!$E75</f>
        <v>0</v>
      </c>
      <c r="W59" s="177">
        <f>K59*VLOOKUP("Hours",'Model Assumptions'!$B$50:$O$72,2,FALSE)*'Building Breakdown'!$H75*'Building Breakdown'!$I75/168</f>
        <v>0</v>
      </c>
      <c r="X59" s="178">
        <f>L59*VLOOKUP("Hours",'Model Assumptions'!$B$50:$O$72,3,FALSE)*'Building Breakdown'!$H75*'Building Breakdown'!$I75/168</f>
        <v>0</v>
      </c>
      <c r="Y59" s="178">
        <f>M59*VLOOKUP("Hours",'Model Assumptions'!$B$50:$O$72,4,FALSE)*'Building Breakdown'!$H75*'Building Breakdown'!$I75/168</f>
        <v>0</v>
      </c>
      <c r="Z59" s="178">
        <f>N59*VLOOKUP("Hours",'Model Assumptions'!$B$50:$O$72,5,FALSE)*'Building Breakdown'!$H75*'Building Breakdown'!$I75/168</f>
        <v>0</v>
      </c>
      <c r="AA59" s="178">
        <f>O59*VLOOKUP("Hours",'Model Assumptions'!$B$50:$O$72,6,FALSE)*'Building Breakdown'!$H75*'Building Breakdown'!$I75/168</f>
        <v>0</v>
      </c>
      <c r="AB59" s="178">
        <f>P59*VLOOKUP("Hours",'Model Assumptions'!$B$50:$O$72,7,FALSE)*'Building Breakdown'!$H75*'Building Breakdown'!$I75/168</f>
        <v>0</v>
      </c>
      <c r="AC59" s="178">
        <f>Q59*VLOOKUP("Hours",'Model Assumptions'!$B$50:$O$72,8,FALSE)*'Building Breakdown'!$H75*'Building Breakdown'!$I75/168</f>
        <v>0</v>
      </c>
      <c r="AD59" s="178">
        <f>R59*VLOOKUP("Hours",'Model Assumptions'!$B$50:$O$72,9,FALSE)*'Building Breakdown'!$H75*'Building Breakdown'!$I75/168</f>
        <v>0</v>
      </c>
      <c r="AE59" s="178">
        <f>S59*VLOOKUP("Hours",'Model Assumptions'!$B$50:$O$72,10,FALSE)*'Building Breakdown'!$H75*'Building Breakdown'!$I75/168</f>
        <v>0</v>
      </c>
      <c r="AF59" s="178">
        <f>T59*VLOOKUP("Hours",'Model Assumptions'!$B$50:$O$72,11,FALSE)*'Building Breakdown'!$H75*'Building Breakdown'!$I75/168</f>
        <v>0</v>
      </c>
      <c r="AG59" s="178">
        <f>U59*VLOOKUP("Hours",'Model Assumptions'!$B$50:$O$72,12,FALSE)*'Building Breakdown'!$H75*'Building Breakdown'!$I75/168</f>
        <v>0</v>
      </c>
      <c r="AH59" s="179">
        <f>V59*VLOOKUP("Hours",'Model Assumptions'!$B$50:$O$72,13,FALSE)*'Building Breakdown'!$H75*'Building Breakdown'!$I75/168</f>
        <v>0</v>
      </c>
      <c r="AI59" s="234">
        <f t="shared" si="2"/>
        <v>0</v>
      </c>
      <c r="AJ59" s="234">
        <f>'Building Breakdown'!AW75</f>
        <v>0</v>
      </c>
      <c r="AK59" s="234">
        <f t="shared" si="6"/>
        <v>0</v>
      </c>
      <c r="AL59" s="235">
        <f>IF(EXACT('Fabric Changes'!C59,"Yes"),IF('Building Breakdown'!$D$5="High_Security",(HLOOKUP(G59,'Model Assumptions'!$C$43:$E$45,3,FALSE)*'Building Breakdown'!S75),(HLOOKUP(G59,'Model Assumptions'!$C$43:$E$45,2,FALSE)*'Building Breakdown'!S75)),0)</f>
        <v>0</v>
      </c>
      <c r="AM59" s="236">
        <f>IF(EXACT('Fabric Changes'!D59,"Yes"),IF('Building Breakdown'!$D$5="High_Security",('Model Assumptions'!$G$45*'Building Breakdown'!T75),('Model Assumptions'!$G$44*'Building Breakdown'!T75)),0)</f>
        <v>0</v>
      </c>
      <c r="AN59" s="237">
        <f>IF(EXACT('Fabric Changes'!E59,"Yes"),IF('Building Breakdown'!$D$5="High_Security",(HLOOKUP(F59,'Model Assumptions'!C$43:K$45,3,FALSE)*'Building Breakdown'!U75),(HLOOKUP(F59,'Model Assumptions'!C$43:K$45,2,FALSE)*'Building Breakdown'!U75)),0)</f>
        <v>0</v>
      </c>
      <c r="AO59" s="238">
        <f t="shared" si="3"/>
        <v>0</v>
      </c>
      <c r="AP59" s="238">
        <f>IF('Building Breakdown'!$F75='Fabric Changes'!$AP$6,$AK59*'Building Breakdown'!$D$8,0)</f>
        <v>0</v>
      </c>
      <c r="AQ59" s="285">
        <f t="shared" si="1"/>
        <v>0</v>
      </c>
      <c r="AR59" s="287">
        <f>IF($AP59=0,0,$AK59*VLOOKUP('Building Breakdown'!$E$8,'Emission factors'!$C$4:$D$8,2,FALSE))</f>
        <v>0</v>
      </c>
      <c r="AS59" s="238">
        <f>IF('Building Breakdown'!$F75='Fabric Changes'!$AS$6,$AK59*'Building Breakdown'!$D$9,0)</f>
        <v>0</v>
      </c>
      <c r="AT59" s="285">
        <f t="shared" si="4"/>
        <v>0</v>
      </c>
      <c r="AU59" s="287">
        <f>IF($AS59=0,0,$AK59*VLOOKUP('Building Breakdown'!$E$9,'Emission factors'!$C$4:$D$8,2,FALSE))</f>
        <v>0</v>
      </c>
      <c r="AV59" s="238">
        <f>IF('Building Breakdown'!$F75='Fabric Changes'!$AV$6,$AK59*'Building Breakdown'!$D$10,0)</f>
        <v>0</v>
      </c>
      <c r="AW59" s="285">
        <f t="shared" si="5"/>
        <v>0</v>
      </c>
      <c r="AX59" s="287">
        <f>IF($AV59=0,0,$AK59*VLOOKUP('Building Breakdown'!$E$10,'Emission factors'!$C$4:$D$8,2,FALSE))</f>
        <v>0</v>
      </c>
      <c r="AY59" s="169"/>
    </row>
    <row r="60" spans="2:51" x14ac:dyDescent="0.3">
      <c r="B60" s="227" t="str">
        <f>IF('Building Breakdown'!C76="","",'Building Breakdown'!C76)</f>
        <v/>
      </c>
      <c r="C60" s="119"/>
      <c r="D60" s="119"/>
      <c r="E60" s="119"/>
      <c r="F60" s="119"/>
      <c r="G60" s="119"/>
      <c r="H60" s="177">
        <f>MIN(IF(EXACT('Fabric Changes'!C60,"Yes"),'Model Assumptions'!$B$21,'Building Breakdown'!V76),'Building Breakdown'!V76)</f>
        <v>0</v>
      </c>
      <c r="I60" s="178">
        <f>MIN(IF(EXACT('Fabric Changes'!D60,"Yes"),'Model Assumptions'!$D$21,'Building Breakdown'!W76),'Building Breakdown'!W76)</f>
        <v>0</v>
      </c>
      <c r="J60" s="182">
        <f>MIN(IF(EXACT('Fabric Changes'!E60,"Yes"),'Model Assumptions'!$E$21,'Building Breakdown'!X76),'Building Breakdown'!X76)</f>
        <v>0</v>
      </c>
      <c r="K60" s="177">
        <f>(((('Building Breakdown'!$S76*$H60)+('Building Breakdown'!$T76*$I60)+('Building Breakdown'!$U76*$J60))*('Building Breakdown'!$G76-(VLOOKUP('Building Breakdown'!$D$7,'Model Assumptions'!$B$50:$O$72,2,FALSE))))/1000)*'Building Breakdown'!$E76</f>
        <v>0</v>
      </c>
      <c r="L60" s="178">
        <f>(((('Building Breakdown'!$S76*$H60)+('Building Breakdown'!$T76*$I60)+('Building Breakdown'!$U76*$J60))*('Building Breakdown'!$G76-(VLOOKUP('Building Breakdown'!$D$7,'Model Assumptions'!$B$50:$O$72,3,FALSE))))/1000)*'Building Breakdown'!$E76</f>
        <v>0</v>
      </c>
      <c r="M60" s="178">
        <f>(((('Building Breakdown'!$S76*$H60)+('Building Breakdown'!$T76*$I60)+('Building Breakdown'!$U76*$J60))*('Building Breakdown'!$G76-(VLOOKUP('Building Breakdown'!$D$7,'Model Assumptions'!$B$50:$O$72,4,FALSE))))/1000)*'Building Breakdown'!$E76</f>
        <v>0</v>
      </c>
      <c r="N60" s="178">
        <f>(((('Building Breakdown'!$S76*$H60)+('Building Breakdown'!$T76*$I60)+('Building Breakdown'!$U76*$J60))*('Building Breakdown'!$G76-(VLOOKUP('Building Breakdown'!$D$7,'Model Assumptions'!$B$50:$O$72,5,FALSE))))/1000)*'Building Breakdown'!$E76</f>
        <v>0</v>
      </c>
      <c r="O60" s="178">
        <f>(((('Building Breakdown'!$S76*$H60)+('Building Breakdown'!$T76*$I60)+('Building Breakdown'!$U76*$J60))*('Building Breakdown'!$G76-(VLOOKUP('Building Breakdown'!$D$7,'Model Assumptions'!$B$50:$O$72,6,FALSE))))/1000)*'Building Breakdown'!$E76</f>
        <v>0</v>
      </c>
      <c r="P60" s="178">
        <f>(((('Building Breakdown'!$S76*$H60)+('Building Breakdown'!$T76*$I60)+('Building Breakdown'!$U76*$J60))*('Building Breakdown'!$G76-(VLOOKUP('Building Breakdown'!$D$7,'Model Assumptions'!$B$50:$O$72,7,FALSE))))/1000)*'Building Breakdown'!$E76</f>
        <v>0</v>
      </c>
      <c r="Q60" s="178">
        <f>(((('Building Breakdown'!$S76*$H60)+('Building Breakdown'!$T76*$I60)+('Building Breakdown'!$U76*$J60))*('Building Breakdown'!$G76-(VLOOKUP('Building Breakdown'!$D$7,'Model Assumptions'!$B$50:$O$72,8,FALSE))))/1000)*'Building Breakdown'!$E76</f>
        <v>0</v>
      </c>
      <c r="R60" s="178">
        <f>(((('Building Breakdown'!$S76*$H60)+('Building Breakdown'!$T76*$I60)+('Building Breakdown'!$U76*$J60))*('Building Breakdown'!$G76-(VLOOKUP('Building Breakdown'!$D$7,'Model Assumptions'!$B$50:$O$72,9,FALSE))))/1000)*'Building Breakdown'!$E76</f>
        <v>0</v>
      </c>
      <c r="S60" s="178">
        <f>(((('Building Breakdown'!$S76*$H60)+('Building Breakdown'!$T76*$I60)+('Building Breakdown'!$U76*$J60))*('Building Breakdown'!$G76-(VLOOKUP('Building Breakdown'!$D$7,'Model Assumptions'!$B$50:$O$72,10,FALSE))))/1000)*'Building Breakdown'!$E76</f>
        <v>0</v>
      </c>
      <c r="T60" s="178">
        <f>(((('Building Breakdown'!$S76*$H60)+('Building Breakdown'!$T76*$I60)+('Building Breakdown'!$U76*$J60))*('Building Breakdown'!$G76-(VLOOKUP('Building Breakdown'!$D$7,'Model Assumptions'!$B$50:$O$72,11,FALSE))))/1000)*'Building Breakdown'!$E76</f>
        <v>0</v>
      </c>
      <c r="U60" s="178">
        <f>(((('Building Breakdown'!$S76*$H60)+('Building Breakdown'!$T76*$I60)+('Building Breakdown'!$U76*$J60))*('Building Breakdown'!$G76-(VLOOKUP('Building Breakdown'!$D$7,'Model Assumptions'!$B$50:$O$72,12,FALSE))))/1000)*'Building Breakdown'!$E76</f>
        <v>0</v>
      </c>
      <c r="V60" s="179">
        <f>(((('Building Breakdown'!$S76*$H60)+('Building Breakdown'!$T76*$I60)+('Building Breakdown'!$U76*$J60))*('Building Breakdown'!$G76-(VLOOKUP('Building Breakdown'!$D$7,'Model Assumptions'!$B$50:$O$72,13,FALSE))))/1000)*'Building Breakdown'!$E76</f>
        <v>0</v>
      </c>
      <c r="W60" s="177">
        <f>K60*VLOOKUP("Hours",'Model Assumptions'!$B$50:$O$72,2,FALSE)*'Building Breakdown'!$H76*'Building Breakdown'!$I76/168</f>
        <v>0</v>
      </c>
      <c r="X60" s="178">
        <f>L60*VLOOKUP("Hours",'Model Assumptions'!$B$50:$O$72,3,FALSE)*'Building Breakdown'!$H76*'Building Breakdown'!$I76/168</f>
        <v>0</v>
      </c>
      <c r="Y60" s="178">
        <f>M60*VLOOKUP("Hours",'Model Assumptions'!$B$50:$O$72,4,FALSE)*'Building Breakdown'!$H76*'Building Breakdown'!$I76/168</f>
        <v>0</v>
      </c>
      <c r="Z60" s="178">
        <f>N60*VLOOKUP("Hours",'Model Assumptions'!$B$50:$O$72,5,FALSE)*'Building Breakdown'!$H76*'Building Breakdown'!$I76/168</f>
        <v>0</v>
      </c>
      <c r="AA60" s="178">
        <f>O60*VLOOKUP("Hours",'Model Assumptions'!$B$50:$O$72,6,FALSE)*'Building Breakdown'!$H76*'Building Breakdown'!$I76/168</f>
        <v>0</v>
      </c>
      <c r="AB60" s="178">
        <f>P60*VLOOKUP("Hours",'Model Assumptions'!$B$50:$O$72,7,FALSE)*'Building Breakdown'!$H76*'Building Breakdown'!$I76/168</f>
        <v>0</v>
      </c>
      <c r="AC60" s="178">
        <f>Q60*VLOOKUP("Hours",'Model Assumptions'!$B$50:$O$72,8,FALSE)*'Building Breakdown'!$H76*'Building Breakdown'!$I76/168</f>
        <v>0</v>
      </c>
      <c r="AD60" s="178">
        <f>R60*VLOOKUP("Hours",'Model Assumptions'!$B$50:$O$72,9,FALSE)*'Building Breakdown'!$H76*'Building Breakdown'!$I76/168</f>
        <v>0</v>
      </c>
      <c r="AE60" s="178">
        <f>S60*VLOOKUP("Hours",'Model Assumptions'!$B$50:$O$72,10,FALSE)*'Building Breakdown'!$H76*'Building Breakdown'!$I76/168</f>
        <v>0</v>
      </c>
      <c r="AF60" s="178">
        <f>T60*VLOOKUP("Hours",'Model Assumptions'!$B$50:$O$72,11,FALSE)*'Building Breakdown'!$H76*'Building Breakdown'!$I76/168</f>
        <v>0</v>
      </c>
      <c r="AG60" s="178">
        <f>U60*VLOOKUP("Hours",'Model Assumptions'!$B$50:$O$72,12,FALSE)*'Building Breakdown'!$H76*'Building Breakdown'!$I76/168</f>
        <v>0</v>
      </c>
      <c r="AH60" s="179">
        <f>V60*VLOOKUP("Hours",'Model Assumptions'!$B$50:$O$72,13,FALSE)*'Building Breakdown'!$H76*'Building Breakdown'!$I76/168</f>
        <v>0</v>
      </c>
      <c r="AI60" s="239">
        <f t="shared" si="2"/>
        <v>0</v>
      </c>
      <c r="AJ60" s="239">
        <f>'Building Breakdown'!AW76</f>
        <v>0</v>
      </c>
      <c r="AK60" s="239">
        <f t="shared" si="6"/>
        <v>0</v>
      </c>
      <c r="AL60" s="240">
        <f>IF(EXACT('Fabric Changes'!C60,"Yes"),IF('Building Breakdown'!$D$5="High_Security",(HLOOKUP(G60,'Model Assumptions'!$C$43:$E$45,3,FALSE)*'Building Breakdown'!S76),(HLOOKUP(G60,'Model Assumptions'!$C$43:$E$45,2,FALSE)*'Building Breakdown'!S76)),0)</f>
        <v>0</v>
      </c>
      <c r="AM60" s="241">
        <f>IF(EXACT('Fabric Changes'!D60,"Yes"),IF('Building Breakdown'!$D$5="High_Security",('Model Assumptions'!$G$45*'Building Breakdown'!T76),('Model Assumptions'!$G$44*'Building Breakdown'!T76)),0)</f>
        <v>0</v>
      </c>
      <c r="AN60" s="242">
        <f>IF(EXACT('Fabric Changes'!E60,"Yes"),IF('Building Breakdown'!$D$5="High_Security",(HLOOKUP(F60,'Model Assumptions'!C$43:K$45,3,FALSE)*'Building Breakdown'!U76),(HLOOKUP(F60,'Model Assumptions'!C$43:K$45,2,FALSE)*'Building Breakdown'!U76)),0)</f>
        <v>0</v>
      </c>
      <c r="AO60" s="243">
        <f t="shared" si="3"/>
        <v>0</v>
      </c>
      <c r="AP60" s="243">
        <f>IF('Building Breakdown'!$F76='Fabric Changes'!$AP$6,$AK60*'Building Breakdown'!$D$8,0)</f>
        <v>0</v>
      </c>
      <c r="AQ60" s="286">
        <f t="shared" si="1"/>
        <v>0</v>
      </c>
      <c r="AR60" s="287">
        <f>IF($AP60=0,0,$AK60*VLOOKUP('Building Breakdown'!$E$8,'Emission factors'!$C$4:$D$8,2,FALSE))</f>
        <v>0</v>
      </c>
      <c r="AS60" s="243">
        <f>IF('Building Breakdown'!$F76='Fabric Changes'!$AS$6,$AK60*'Building Breakdown'!$D$9,0)</f>
        <v>0</v>
      </c>
      <c r="AT60" s="286">
        <f t="shared" si="4"/>
        <v>0</v>
      </c>
      <c r="AU60" s="287">
        <f>IF($AS60=0,0,$AK60*VLOOKUP('Building Breakdown'!$E$9,'Emission factors'!$C$4:$D$8,2,FALSE))</f>
        <v>0</v>
      </c>
      <c r="AV60" s="243">
        <f>IF('Building Breakdown'!$F76='Fabric Changes'!$AV$6,$AK60*'Building Breakdown'!$D$10,0)</f>
        <v>0</v>
      </c>
      <c r="AW60" s="286">
        <f t="shared" si="5"/>
        <v>0</v>
      </c>
      <c r="AX60" s="287">
        <f>IF($AV60=0,0,$AK60*VLOOKUP('Building Breakdown'!$E$10,'Emission factors'!$C$4:$D$8,2,FALSE))</f>
        <v>0</v>
      </c>
      <c r="AY60" s="170"/>
    </row>
    <row r="61" spans="2:51" x14ac:dyDescent="0.3"/>
    <row r="62" spans="2:51" hidden="1" x14ac:dyDescent="0.3">
      <c r="AI62" s="81"/>
      <c r="AJ62" s="81"/>
      <c r="AK62" s="82"/>
      <c r="AL62" s="22"/>
      <c r="AM62" s="22"/>
      <c r="AN62" s="22"/>
      <c r="AO62" s="22"/>
    </row>
    <row r="63" spans="2:51" hidden="1" x14ac:dyDescent="0.3">
      <c r="AI63" s="83"/>
      <c r="AJ63" s="83"/>
      <c r="AK63" s="82"/>
    </row>
    <row r="64" spans="2:51" hidden="1" x14ac:dyDescent="0.3">
      <c r="AI64" s="83"/>
      <c r="AJ64" s="83"/>
      <c r="AK64" s="82"/>
    </row>
    <row r="65" spans="35:41" hidden="1" x14ac:dyDescent="0.3">
      <c r="AI65" s="83"/>
      <c r="AJ65" s="83"/>
      <c r="AK65" s="82"/>
      <c r="AO65" s="22"/>
    </row>
    <row r="66" spans="35:41" hidden="1" x14ac:dyDescent="0.3">
      <c r="AI66" s="83"/>
      <c r="AJ66" s="83"/>
      <c r="AK66" s="82"/>
    </row>
    <row r="67" spans="35:41" hidden="1" x14ac:dyDescent="0.3">
      <c r="AI67" s="83"/>
      <c r="AJ67" s="83"/>
      <c r="AK67" s="82"/>
    </row>
    <row r="68" spans="35:41" hidden="1" x14ac:dyDescent="0.3">
      <c r="AI68" s="83"/>
      <c r="AJ68" s="83"/>
      <c r="AK68" s="82"/>
    </row>
    <row r="69" spans="35:41" hidden="1" x14ac:dyDescent="0.3">
      <c r="AI69" s="83"/>
      <c r="AJ69" s="83"/>
      <c r="AK69" s="82"/>
    </row>
    <row r="70" spans="35:41" hidden="1" x14ac:dyDescent="0.3">
      <c r="AI70" s="83"/>
      <c r="AJ70" s="83"/>
      <c r="AK70" s="82"/>
    </row>
    <row r="71" spans="35:41" hidden="1" x14ac:dyDescent="0.3">
      <c r="AI71" s="83"/>
      <c r="AJ71" s="83"/>
      <c r="AK71" s="82"/>
    </row>
    <row r="72" spans="35:41" hidden="1" x14ac:dyDescent="0.3">
      <c r="AI72" s="83"/>
      <c r="AJ72" s="83"/>
      <c r="AK72" s="82"/>
    </row>
    <row r="73" spans="35:41" hidden="1" x14ac:dyDescent="0.3">
      <c r="AI73" s="83"/>
      <c r="AJ73" s="83"/>
      <c r="AK73" s="82"/>
    </row>
    <row r="74" spans="35:41" hidden="1" x14ac:dyDescent="0.3">
      <c r="AI74" s="83"/>
      <c r="AJ74" s="83"/>
      <c r="AK74" s="82"/>
    </row>
    <row r="75" spans="35:41" hidden="1" x14ac:dyDescent="0.3">
      <c r="AI75" s="83"/>
      <c r="AJ75" s="83"/>
      <c r="AK75" s="82"/>
    </row>
    <row r="76" spans="35:41" hidden="1" x14ac:dyDescent="0.3">
      <c r="AI76" s="83"/>
      <c r="AJ76" s="83"/>
      <c r="AK76" s="82"/>
    </row>
    <row r="77" spans="35:41" hidden="1" x14ac:dyDescent="0.3">
      <c r="AI77" s="83"/>
      <c r="AJ77" s="83"/>
      <c r="AK77" s="82"/>
    </row>
    <row r="78" spans="35:41" hidden="1" x14ac:dyDescent="0.3">
      <c r="AI78" s="83"/>
      <c r="AJ78" s="83"/>
      <c r="AK78" s="82"/>
    </row>
    <row r="79" spans="35:41" hidden="1" x14ac:dyDescent="0.3">
      <c r="AI79" s="83"/>
      <c r="AJ79" s="83"/>
      <c r="AK79" s="82"/>
    </row>
    <row r="80" spans="35:41" hidden="1" x14ac:dyDescent="0.3">
      <c r="AI80" s="83"/>
      <c r="AJ80" s="83"/>
      <c r="AK80" s="82"/>
    </row>
    <row r="81" spans="35:37" hidden="1" x14ac:dyDescent="0.3">
      <c r="AI81" s="83"/>
      <c r="AJ81" s="83"/>
      <c r="AK81" s="82"/>
    </row>
  </sheetData>
  <sheetProtection algorithmName="SHA-512" hashValue="cK3mylFNAPEiGmvYjTJxD/fdq1V4zDvf5vcC67wiG8F6lIUwlcKwQk1zt6nrTcM/G9a4Y7OEMnDl3SLirdUUEQ==" saltValue="r0hGMONnERgospuQrZWc1A==" spinCount="100000" sheet="1" objects="1" scenarios="1"/>
  <mergeCells count="5">
    <mergeCell ref="C6:E6"/>
    <mergeCell ref="H6:J6"/>
    <mergeCell ref="AL6:AN6"/>
    <mergeCell ref="K6:V6"/>
    <mergeCell ref="W6:AH6"/>
  </mergeCells>
  <phoneticPr fontId="17" type="noConversion"/>
  <pageMargins left="0.7" right="0.7" top="0.75" bottom="0.75" header="0.3" footer="0.3"/>
  <pageSetup paperSize="9" orientation="portrait" r:id="rId1"/>
  <headerFooter>
    <oddFooter>&amp;L&amp;1#&amp;"Calibri"&amp;10&amp;K000000 -------------------------------------------------------- This document is marked as confidential</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CD09785-D7AC-48A9-A686-FD84BDE81C11}">
          <x14:formula1>
            <xm:f>'Model Assumptions'!$I$43:$K$43</xm:f>
          </x14:formula1>
          <xm:sqref>F8:F60</xm:sqref>
        </x14:dataValidation>
        <x14:dataValidation type="list" allowBlank="1" showInputMessage="1" showErrorMessage="1" xr:uid="{52C808AD-5A2F-40C2-99B3-5545C60AF385}">
          <x14:formula1>
            <xm:f>'Model Assumptions'!$C$43:$E$43</xm:f>
          </x14:formula1>
          <xm:sqref>G8:G60</xm:sqref>
        </x14:dataValidation>
        <x14:dataValidation type="list" allowBlank="1" showInputMessage="1" showErrorMessage="1" xr:uid="{9D0EE4B6-8F46-4215-AE12-78D79097983C}">
          <x14:formula1>
            <xm:f>Lists!$B$4:$B$5</xm:f>
          </x14:formula1>
          <xm:sqref>C8:E60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F733-CFEB-4FFF-81F3-78904D081477}">
  <sheetPr codeName="Sheet6">
    <tabColor rgb="FF9BC2E6"/>
    <pageSetUpPr autoPageBreaks="0"/>
  </sheetPr>
  <dimension ref="A1:E37"/>
  <sheetViews>
    <sheetView workbookViewId="0">
      <selection activeCell="C5" sqref="C5"/>
    </sheetView>
  </sheetViews>
  <sheetFormatPr defaultColWidth="0" defaultRowHeight="14.4" zeroHeight="1" x14ac:dyDescent="0.3"/>
  <cols>
    <col min="1" max="1" width="4" customWidth="1"/>
    <col min="2" max="2" width="59.6640625" bestFit="1" customWidth="1"/>
    <col min="3" max="3" width="87.33203125" customWidth="1"/>
    <col min="4" max="4" width="13.5546875" customWidth="1"/>
    <col min="5" max="5" width="8.88671875" customWidth="1"/>
    <col min="6" max="16384" width="8.88671875" hidden="1"/>
  </cols>
  <sheetData>
    <row r="1" spans="2:4" x14ac:dyDescent="0.3"/>
    <row r="2" spans="2:4" ht="18" x14ac:dyDescent="0.3">
      <c r="B2" s="100" t="s">
        <v>185</v>
      </c>
    </row>
    <row r="3" spans="2:4" x14ac:dyDescent="0.3"/>
    <row r="4" spans="2:4" s="80" customFormat="1" ht="18" x14ac:dyDescent="0.35">
      <c r="B4" s="101" t="s">
        <v>186</v>
      </c>
      <c r="C4" s="101" t="s">
        <v>187</v>
      </c>
      <c r="D4" s="101" t="s">
        <v>188</v>
      </c>
    </row>
    <row r="5" spans="2:4" x14ac:dyDescent="0.3">
      <c r="B5" s="220" t="s">
        <v>101</v>
      </c>
      <c r="C5" s="221"/>
      <c r="D5" s="222"/>
    </row>
    <row r="6" spans="2:4" x14ac:dyDescent="0.3">
      <c r="B6" s="220" t="s">
        <v>102</v>
      </c>
      <c r="C6" s="220"/>
      <c r="D6" s="222"/>
    </row>
    <row r="7" spans="2:4" ht="15" customHeight="1" x14ac:dyDescent="0.3">
      <c r="B7" s="220" t="s">
        <v>189</v>
      </c>
      <c r="C7" s="220"/>
      <c r="D7" s="222"/>
    </row>
    <row r="8" spans="2:4" ht="15" customHeight="1" x14ac:dyDescent="0.3">
      <c r="B8" s="221" t="s">
        <v>190</v>
      </c>
      <c r="C8" s="220"/>
      <c r="D8" s="222"/>
    </row>
    <row r="9" spans="2:4" ht="15" customHeight="1" x14ac:dyDescent="0.3">
      <c r="B9" s="220" t="s">
        <v>104</v>
      </c>
      <c r="C9" s="221"/>
      <c r="D9" s="222"/>
    </row>
    <row r="10" spans="2:4" ht="15" customHeight="1" x14ac:dyDescent="0.3">
      <c r="B10" s="220" t="s">
        <v>106</v>
      </c>
      <c r="C10" s="221"/>
      <c r="D10" s="222"/>
    </row>
    <row r="11" spans="2:4" x14ac:dyDescent="0.3">
      <c r="B11" s="220" t="s">
        <v>107</v>
      </c>
      <c r="C11" s="221"/>
      <c r="D11" s="222"/>
    </row>
    <row r="12" spans="2:4" x14ac:dyDescent="0.3">
      <c r="B12" s="220" t="s">
        <v>108</v>
      </c>
      <c r="C12" s="221"/>
      <c r="D12" s="222"/>
    </row>
    <row r="13" spans="2:4" ht="15" customHeight="1" x14ac:dyDescent="0.3">
      <c r="B13" s="220" t="s">
        <v>109</v>
      </c>
      <c r="C13" s="221"/>
      <c r="D13" s="222"/>
    </row>
    <row r="14" spans="2:4" x14ac:dyDescent="0.3">
      <c r="B14" s="220" t="s">
        <v>110</v>
      </c>
      <c r="C14" s="220"/>
      <c r="D14" s="222"/>
    </row>
    <row r="15" spans="2:4" x14ac:dyDescent="0.3">
      <c r="B15" s="220" t="s">
        <v>111</v>
      </c>
      <c r="C15" s="221"/>
      <c r="D15" s="222"/>
    </row>
    <row r="16" spans="2:4" x14ac:dyDescent="0.3">
      <c r="B16" s="220" t="s">
        <v>112</v>
      </c>
      <c r="C16" s="221"/>
      <c r="D16" s="222"/>
    </row>
    <row r="17" spans="2:4" ht="15" customHeight="1" x14ac:dyDescent="0.3">
      <c r="B17" s="220" t="s">
        <v>113</v>
      </c>
      <c r="C17" s="221"/>
      <c r="D17" s="222"/>
    </row>
    <row r="18" spans="2:4" x14ac:dyDescent="0.3">
      <c r="B18" s="220" t="s">
        <v>114</v>
      </c>
      <c r="C18" s="221"/>
      <c r="D18" s="222"/>
    </row>
    <row r="19" spans="2:4" ht="15" customHeight="1" x14ac:dyDescent="0.3">
      <c r="B19" s="220" t="s">
        <v>115</v>
      </c>
      <c r="C19" s="221"/>
      <c r="D19" s="222"/>
    </row>
    <row r="20" spans="2:4" ht="15" customHeight="1" x14ac:dyDescent="0.3">
      <c r="B20" s="223" t="s">
        <v>116</v>
      </c>
      <c r="C20" s="224"/>
      <c r="D20" s="222"/>
    </row>
    <row r="21" spans="2:4" x14ac:dyDescent="0.3">
      <c r="B21" s="222"/>
      <c r="C21" s="222"/>
      <c r="D21" s="222"/>
    </row>
    <row r="22" spans="2:4" x14ac:dyDescent="0.3">
      <c r="B22" s="222"/>
      <c r="C22" s="222"/>
      <c r="D22" s="222"/>
    </row>
    <row r="23" spans="2:4" x14ac:dyDescent="0.3">
      <c r="B23" s="222"/>
      <c r="C23" s="222"/>
      <c r="D23" s="222"/>
    </row>
    <row r="24" spans="2:4" x14ac:dyDescent="0.3">
      <c r="B24" s="222"/>
      <c r="C24" s="222"/>
      <c r="D24" s="222"/>
    </row>
    <row r="25" spans="2:4" x14ac:dyDescent="0.3">
      <c r="B25" s="222"/>
      <c r="C25" s="222"/>
      <c r="D25" s="222"/>
    </row>
    <row r="26" spans="2:4" x14ac:dyDescent="0.3">
      <c r="B26" s="222"/>
      <c r="C26" s="222"/>
      <c r="D26" s="222"/>
    </row>
    <row r="27" spans="2:4" x14ac:dyDescent="0.3">
      <c r="B27" s="222"/>
      <c r="C27" s="222"/>
      <c r="D27" s="222"/>
    </row>
    <row r="28" spans="2:4" x14ac:dyDescent="0.3">
      <c r="B28" s="222"/>
      <c r="C28" s="222"/>
      <c r="D28" s="222"/>
    </row>
    <row r="29" spans="2:4" x14ac:dyDescent="0.3">
      <c r="B29" s="222"/>
      <c r="C29" s="222"/>
      <c r="D29" s="222"/>
    </row>
    <row r="30" spans="2:4" x14ac:dyDescent="0.3">
      <c r="B30" s="222"/>
      <c r="C30" s="222"/>
      <c r="D30" s="222"/>
    </row>
    <row r="31" spans="2:4" x14ac:dyDescent="0.3">
      <c r="B31" s="222"/>
      <c r="C31" s="222"/>
      <c r="D31" s="222"/>
    </row>
    <row r="32" spans="2:4" x14ac:dyDescent="0.3">
      <c r="B32" s="222"/>
      <c r="C32" s="222"/>
      <c r="D32" s="222"/>
    </row>
    <row r="33" spans="2:4" x14ac:dyDescent="0.3">
      <c r="B33" s="222"/>
      <c r="C33" s="222"/>
      <c r="D33" s="222"/>
    </row>
    <row r="34" spans="2:4" x14ac:dyDescent="0.3">
      <c r="B34" s="222"/>
      <c r="C34" s="222"/>
      <c r="D34" s="222"/>
    </row>
    <row r="35" spans="2:4" x14ac:dyDescent="0.3">
      <c r="B35" s="222"/>
      <c r="C35" s="222"/>
      <c r="D35" s="222"/>
    </row>
    <row r="36" spans="2:4" x14ac:dyDescent="0.3">
      <c r="B36" s="222"/>
      <c r="C36" s="222"/>
      <c r="D36" s="222"/>
    </row>
    <row r="37" spans="2:4" x14ac:dyDescent="0.3"/>
  </sheetData>
  <sheetProtection algorithmName="SHA-512" hashValue="AHeGsR34XqGwbO0W7hBHc4AgdFt9/BuJpZYgwf/i/aLQtEV7TqPwNlZ3jyHeZG0tn2p6cNDmLEwd5D4dmnaF9Q==" saltValue="LOV3AqE6nL9mMLriQmk2qw==" spinCount="100000" sheet="1" objects="1" scenarios="1" selectLockedCells="1"/>
  <pageMargins left="0.7" right="0.7" top="0.75" bottom="0.75" header="0.3" footer="0.3"/>
  <pageSetup paperSize="9" orientation="portrait" r:id="rId1"/>
  <headerFooter>
    <oddFooter>&amp;L&amp;1#&amp;"Calibri"&amp;10&amp;K000000 -------------------------------------------------------- This document is marked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E1CD-FAAB-4F82-8B7D-598322A965D9}">
  <sheetPr codeName="Sheet10">
    <tabColor rgb="FF9BC2E6"/>
    <pageSetUpPr autoPageBreaks="0"/>
  </sheetPr>
  <dimension ref="A1:F32"/>
  <sheetViews>
    <sheetView workbookViewId="0"/>
  </sheetViews>
  <sheetFormatPr defaultColWidth="0" defaultRowHeight="14.4" zeroHeight="1" x14ac:dyDescent="0.3"/>
  <cols>
    <col min="1" max="1" width="3.5546875" customWidth="1"/>
    <col min="2" max="2" width="16" customWidth="1"/>
    <col min="3" max="4" width="16" style="1" customWidth="1"/>
    <col min="5" max="5" width="25.5546875" customWidth="1"/>
    <col min="6" max="6" width="8.88671875" customWidth="1"/>
    <col min="7" max="16384" width="8.88671875" hidden="1"/>
  </cols>
  <sheetData>
    <row r="1" spans="2:5" x14ac:dyDescent="0.3"/>
    <row r="2" spans="2:5" ht="18" x14ac:dyDescent="0.3">
      <c r="B2" s="100" t="s">
        <v>191</v>
      </c>
    </row>
    <row r="3" spans="2:5" x14ac:dyDescent="0.3"/>
    <row r="4" spans="2:5" x14ac:dyDescent="0.3">
      <c r="B4" s="218" t="s">
        <v>192</v>
      </c>
      <c r="C4" s="218" t="s">
        <v>193</v>
      </c>
      <c r="D4" s="218" t="s">
        <v>194</v>
      </c>
      <c r="E4" s="219" t="s">
        <v>195</v>
      </c>
    </row>
    <row r="5" spans="2:5" x14ac:dyDescent="0.3">
      <c r="B5" s="296">
        <v>1</v>
      </c>
      <c r="C5" s="297">
        <v>44539</v>
      </c>
      <c r="D5" s="298" t="s">
        <v>196</v>
      </c>
      <c r="E5" s="23" t="s">
        <v>197</v>
      </c>
    </row>
    <row r="6" spans="2:5" ht="57.6" x14ac:dyDescent="0.3">
      <c r="B6" s="296">
        <v>1.1000000000000001</v>
      </c>
      <c r="C6" s="297">
        <v>44599</v>
      </c>
      <c r="D6" s="298" t="s">
        <v>196</v>
      </c>
      <c r="E6" s="23" t="s">
        <v>198</v>
      </c>
    </row>
    <row r="7" spans="2:5" ht="77.400000000000006" customHeight="1" x14ac:dyDescent="0.3">
      <c r="B7" s="296">
        <v>2</v>
      </c>
      <c r="C7" s="297">
        <v>44946</v>
      </c>
      <c r="D7" s="298" t="s">
        <v>196</v>
      </c>
      <c r="E7" s="23" t="s">
        <v>199</v>
      </c>
    </row>
    <row r="8" spans="2:5" x14ac:dyDescent="0.3">
      <c r="B8" s="296"/>
      <c r="C8" s="297"/>
      <c r="D8" s="298"/>
      <c r="E8" s="23"/>
    </row>
    <row r="9" spans="2:5" x14ac:dyDescent="0.3">
      <c r="B9" s="296"/>
      <c r="C9" s="297"/>
      <c r="D9" s="298"/>
      <c r="E9" s="23"/>
    </row>
    <row r="10" spans="2:5" x14ac:dyDescent="0.3">
      <c r="B10" s="296"/>
      <c r="C10" s="297"/>
      <c r="D10" s="298"/>
      <c r="E10" s="23"/>
    </row>
    <row r="11" spans="2:5" x14ac:dyDescent="0.3">
      <c r="B11" s="296"/>
      <c r="C11" s="297"/>
      <c r="D11" s="298"/>
      <c r="E11" s="23"/>
    </row>
    <row r="12" spans="2:5" x14ac:dyDescent="0.3">
      <c r="B12" s="296"/>
      <c r="C12" s="297"/>
      <c r="D12" s="298"/>
      <c r="E12" s="23"/>
    </row>
    <row r="13" spans="2:5" x14ac:dyDescent="0.3">
      <c r="B13" s="296"/>
      <c r="C13" s="297"/>
      <c r="D13" s="298"/>
      <c r="E13" s="23"/>
    </row>
    <row r="14" spans="2:5" x14ac:dyDescent="0.3">
      <c r="B14" s="296"/>
      <c r="C14" s="297"/>
      <c r="D14" s="298"/>
      <c r="E14" s="23"/>
    </row>
    <row r="15" spans="2:5" x14ac:dyDescent="0.3">
      <c r="B15" s="296"/>
      <c r="C15" s="297"/>
      <c r="D15" s="298"/>
      <c r="E15" s="23"/>
    </row>
    <row r="16" spans="2:5" x14ac:dyDescent="0.3">
      <c r="B16" s="296"/>
      <c r="C16" s="297"/>
      <c r="D16" s="298"/>
      <c r="E16" s="23"/>
    </row>
    <row r="17" spans="2:5" x14ac:dyDescent="0.3">
      <c r="B17" s="296"/>
      <c r="C17" s="297"/>
      <c r="D17" s="298"/>
      <c r="E17" s="23"/>
    </row>
    <row r="18" spans="2:5" x14ac:dyDescent="0.3">
      <c r="B18" s="296"/>
      <c r="C18" s="297"/>
      <c r="D18" s="298"/>
      <c r="E18" s="23"/>
    </row>
    <row r="19" spans="2:5" x14ac:dyDescent="0.3">
      <c r="B19" s="296"/>
      <c r="C19" s="297"/>
      <c r="D19" s="298"/>
      <c r="E19" s="23"/>
    </row>
    <row r="20" spans="2:5" x14ac:dyDescent="0.3">
      <c r="B20" s="296"/>
      <c r="C20" s="297"/>
      <c r="D20" s="298"/>
      <c r="E20" s="23"/>
    </row>
    <row r="21" spans="2:5" x14ac:dyDescent="0.3">
      <c r="B21" s="296"/>
      <c r="C21" s="297"/>
      <c r="D21" s="298"/>
      <c r="E21" s="23"/>
    </row>
    <row r="22" spans="2:5" x14ac:dyDescent="0.3">
      <c r="B22" s="296"/>
      <c r="C22" s="297"/>
      <c r="D22" s="298"/>
      <c r="E22" s="23"/>
    </row>
    <row r="23" spans="2:5" x14ac:dyDescent="0.3">
      <c r="B23" s="296"/>
      <c r="C23" s="297"/>
      <c r="D23" s="298"/>
      <c r="E23" s="23"/>
    </row>
    <row r="24" spans="2:5" x14ac:dyDescent="0.3">
      <c r="B24" s="296"/>
      <c r="C24" s="297"/>
      <c r="D24" s="298"/>
      <c r="E24" s="23"/>
    </row>
    <row r="25" spans="2:5" x14ac:dyDescent="0.3">
      <c r="B25" s="296"/>
      <c r="C25" s="297"/>
      <c r="D25" s="298"/>
      <c r="E25" s="23"/>
    </row>
    <row r="26" spans="2:5" x14ac:dyDescent="0.3">
      <c r="B26" s="296"/>
      <c r="C26" s="297"/>
      <c r="D26" s="298"/>
      <c r="E26" s="23"/>
    </row>
    <row r="27" spans="2:5" x14ac:dyDescent="0.3">
      <c r="B27" s="296"/>
      <c r="C27" s="297"/>
      <c r="D27" s="298"/>
      <c r="E27" s="23"/>
    </row>
    <row r="28" spans="2:5" x14ac:dyDescent="0.3">
      <c r="B28" s="296"/>
      <c r="C28" s="297"/>
      <c r="D28" s="298"/>
      <c r="E28" s="23"/>
    </row>
    <row r="29" spans="2:5" x14ac:dyDescent="0.3">
      <c r="B29" s="296"/>
      <c r="C29" s="297"/>
      <c r="D29" s="298"/>
      <c r="E29" s="23"/>
    </row>
    <row r="30" spans="2:5" x14ac:dyDescent="0.3">
      <c r="B30" s="296"/>
      <c r="C30" s="297"/>
      <c r="D30" s="298"/>
      <c r="E30" s="23"/>
    </row>
    <row r="31" spans="2:5" x14ac:dyDescent="0.3">
      <c r="B31" s="296"/>
      <c r="C31" s="297"/>
      <c r="D31" s="298"/>
      <c r="E31" s="23"/>
    </row>
    <row r="32" spans="2:5" x14ac:dyDescent="0.3"/>
  </sheetData>
  <sheetProtection algorithmName="SHA-512" hashValue="HaJfq8CFjX/LY/CdyMP0A0NnIIrwk0mwGAXlFjVvtGB7StjvC+3NYiaYYgeueNmyGgJUsCGw7ZuBpref7sZCYg==" saltValue="uKclvaLJdPAACL0itRv2eg==" spinCount="100000" sheet="1" objects="1" scenarios="1" selectLockedCells="1"/>
  <pageMargins left="0.7" right="0.7" top="0.75" bottom="0.75" header="0.3" footer="0.3"/>
  <pageSetup orientation="portrait" r:id="rId1"/>
  <headerFooter>
    <oddFooter>&amp;L&amp;1#&amp;"Calibri"&amp;10&amp;K000000 -------------------------------------------------------- This document is marked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76DE-1633-4D27-94C1-48F101218000}">
  <sheetPr codeName="Sheet11">
    <tabColor rgb="FFFF0000"/>
  </sheetPr>
  <dimension ref="B3:B5"/>
  <sheetViews>
    <sheetView workbookViewId="0"/>
  </sheetViews>
  <sheetFormatPr defaultRowHeight="14.4" x14ac:dyDescent="0.3"/>
  <sheetData>
    <row r="3" spans="2:2" x14ac:dyDescent="0.3">
      <c r="B3" t="s">
        <v>163</v>
      </c>
    </row>
    <row r="4" spans="2:2" x14ac:dyDescent="0.3">
      <c r="B4" t="s">
        <v>182</v>
      </c>
    </row>
    <row r="5" spans="2:2" x14ac:dyDescent="0.3">
      <c r="B5" t="s">
        <v>200</v>
      </c>
    </row>
  </sheetData>
  <pageMargins left="0.7" right="0.7" top="0.75" bottom="0.75" header="0.3" footer="0.3"/>
  <pageSetup orientation="portrait" r:id="rId1"/>
  <headerFooter>
    <oddFooter>&amp;L&amp;1#&amp;"Calibri"&amp;10&amp;K000000 -------------------------------------------------------- This document is marked as confidential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581C-059E-4A8B-A3B2-211E034767CA}">
  <sheetPr codeName="Sheet3">
    <tabColor rgb="FFFF0000"/>
  </sheetPr>
  <dimension ref="B2:AB80"/>
  <sheetViews>
    <sheetView topLeftCell="A30" workbookViewId="0">
      <selection activeCell="L42" sqref="L42:O45"/>
    </sheetView>
  </sheetViews>
  <sheetFormatPr defaultRowHeight="14.4" x14ac:dyDescent="0.3"/>
  <cols>
    <col min="2" max="2" width="22.44140625" customWidth="1"/>
    <col min="3" max="3" width="14" style="1" customWidth="1"/>
    <col min="4" max="6" width="14" customWidth="1"/>
    <col min="7" max="7" width="18.109375" customWidth="1"/>
    <col min="8" max="8" width="13.109375" customWidth="1"/>
    <col min="9" max="9" width="14" style="1" bestFit="1" customWidth="1"/>
    <col min="10" max="10" width="14.44140625" style="1" bestFit="1" customWidth="1"/>
    <col min="11" max="11" width="14.109375" style="1" bestFit="1" customWidth="1"/>
    <col min="12" max="12" width="17.44140625" style="1" bestFit="1" customWidth="1"/>
    <col min="13" max="13" width="14.5546875" style="1" customWidth="1"/>
    <col min="14" max="14" width="16.5546875" style="1" customWidth="1"/>
    <col min="15" max="15" width="15.44140625" style="1" bestFit="1" customWidth="1"/>
    <col min="16" max="16" width="26.5546875" style="1" customWidth="1"/>
    <col min="17" max="17" width="4.5546875" bestFit="1" customWidth="1"/>
    <col min="18" max="18" width="27.109375" bestFit="1" customWidth="1"/>
    <col min="19" max="19" width="5" bestFit="1" customWidth="1"/>
    <col min="20" max="20" width="18.33203125" customWidth="1"/>
    <col min="21" max="21" width="17" style="1" bestFit="1" customWidth="1"/>
    <col min="22" max="22" width="9.88671875" style="1" bestFit="1" customWidth="1"/>
    <col min="23" max="24" width="16.6640625" customWidth="1"/>
    <col min="25" max="25" width="9.5546875" customWidth="1"/>
    <col min="26" max="26" width="8.5546875" bestFit="1" customWidth="1"/>
    <col min="27" max="27" width="11.109375" customWidth="1"/>
    <col min="28" max="28" width="17" bestFit="1" customWidth="1"/>
    <col min="29" max="29" width="16.44140625" bestFit="1" customWidth="1"/>
    <col min="30" max="30" width="11.33203125" bestFit="1" customWidth="1"/>
  </cols>
  <sheetData>
    <row r="2" spans="2:28" ht="15" thickBot="1" x14ac:dyDescent="0.35">
      <c r="T2" s="10"/>
    </row>
    <row r="3" spans="2:28" s="24" customFormat="1" ht="28.8" x14ac:dyDescent="0.3">
      <c r="B3" s="29" t="s">
        <v>201</v>
      </c>
      <c r="C3" s="30" t="s">
        <v>202</v>
      </c>
      <c r="I3" s="31"/>
    </row>
    <row r="4" spans="2:28" x14ac:dyDescent="0.3">
      <c r="B4" s="3">
        <v>1</v>
      </c>
      <c r="C4" s="25">
        <v>0.25</v>
      </c>
      <c r="I4" s="69"/>
    </row>
    <row r="5" spans="2:28" x14ac:dyDescent="0.3">
      <c r="B5" s="3">
        <v>2</v>
      </c>
      <c r="C5" s="25">
        <v>0.45</v>
      </c>
      <c r="I5" s="69"/>
    </row>
    <row r="6" spans="2:28" x14ac:dyDescent="0.3">
      <c r="B6" s="3">
        <v>3</v>
      </c>
      <c r="C6" s="25">
        <v>0.65</v>
      </c>
      <c r="I6" s="69"/>
      <c r="U6"/>
      <c r="V6"/>
    </row>
    <row r="7" spans="2:28" ht="15" thickBot="1" x14ac:dyDescent="0.35">
      <c r="B7" s="4" t="s">
        <v>203</v>
      </c>
      <c r="C7" s="26">
        <v>0.375</v>
      </c>
      <c r="I7" s="69"/>
      <c r="U7"/>
      <c r="V7"/>
    </row>
    <row r="8" spans="2:28" s="21" customFormat="1" ht="15" thickBot="1" x14ac:dyDescent="0.35">
      <c r="C8" s="28"/>
      <c r="I8" s="69"/>
    </row>
    <row r="9" spans="2:28" ht="28.8" x14ac:dyDescent="0.3">
      <c r="B9" s="29" t="s">
        <v>204</v>
      </c>
      <c r="C9" s="95" t="s">
        <v>205</v>
      </c>
      <c r="D9" s="24"/>
      <c r="E9" s="24"/>
      <c r="I9" s="69"/>
      <c r="U9"/>
      <c r="V9"/>
    </row>
    <row r="10" spans="2:28" x14ac:dyDescent="0.3">
      <c r="B10" s="3" t="s">
        <v>206</v>
      </c>
      <c r="C10" s="5">
        <v>0.25</v>
      </c>
      <c r="I10" s="69"/>
      <c r="U10"/>
      <c r="V10"/>
    </row>
    <row r="11" spans="2:28" ht="28.8" x14ac:dyDescent="0.3">
      <c r="B11" s="14" t="s">
        <v>207</v>
      </c>
      <c r="C11" s="5">
        <v>1.5</v>
      </c>
      <c r="I11"/>
      <c r="V11"/>
    </row>
    <row r="12" spans="2:28" ht="29.4" thickBot="1" x14ac:dyDescent="0.35">
      <c r="B12" s="15" t="s">
        <v>158</v>
      </c>
      <c r="C12" s="6">
        <v>1.5</v>
      </c>
      <c r="I12" s="9"/>
      <c r="U12"/>
      <c r="W12" s="1"/>
      <c r="X12" s="1"/>
      <c r="AB12" s="10"/>
    </row>
    <row r="13" spans="2:28" ht="15" thickBot="1" x14ac:dyDescent="0.35">
      <c r="C13"/>
      <c r="I13"/>
      <c r="J13" s="10"/>
      <c r="K13"/>
      <c r="L13"/>
      <c r="M13"/>
      <c r="N13"/>
      <c r="P13"/>
      <c r="U13"/>
      <c r="W13" s="1"/>
      <c r="X13" s="1"/>
      <c r="AB13" s="10"/>
    </row>
    <row r="14" spans="2:28" ht="57.6" x14ac:dyDescent="0.3">
      <c r="B14" s="96" t="s">
        <v>103</v>
      </c>
      <c r="C14" s="97" t="s">
        <v>208</v>
      </c>
      <c r="D14" s="98" t="s">
        <v>209</v>
      </c>
      <c r="E14" s="21"/>
      <c r="S14" s="1"/>
      <c r="T14" s="1"/>
      <c r="AB14" s="10"/>
    </row>
    <row r="15" spans="2:28" x14ac:dyDescent="0.3">
      <c r="B15" s="14" t="s">
        <v>155</v>
      </c>
      <c r="C15" s="7">
        <v>87</v>
      </c>
      <c r="D15" s="5">
        <v>0.3</v>
      </c>
      <c r="S15" s="1"/>
      <c r="T15" s="1"/>
    </row>
    <row r="16" spans="2:28" x14ac:dyDescent="0.3">
      <c r="B16" s="3" t="s">
        <v>210</v>
      </c>
      <c r="C16" s="7">
        <v>70</v>
      </c>
      <c r="D16" s="5">
        <v>0.4</v>
      </c>
      <c r="I16" s="11"/>
      <c r="S16" s="1"/>
      <c r="T16" s="1"/>
    </row>
    <row r="17" spans="2:28" ht="15" thickBot="1" x14ac:dyDescent="0.35">
      <c r="B17" s="4" t="s">
        <v>211</v>
      </c>
      <c r="C17" s="8">
        <v>70</v>
      </c>
      <c r="D17" s="6">
        <v>0.15</v>
      </c>
      <c r="I17" s="11"/>
      <c r="S17" s="1"/>
      <c r="T17" s="1"/>
      <c r="W17" s="31"/>
      <c r="X17" s="31"/>
      <c r="Y17" s="64"/>
      <c r="Z17" s="32"/>
      <c r="AA17" s="32"/>
      <c r="AB17" s="32"/>
    </row>
    <row r="18" spans="2:28" ht="15" thickBot="1" x14ac:dyDescent="0.35">
      <c r="C18"/>
      <c r="I18" s="11"/>
      <c r="S18" s="1"/>
      <c r="T18" s="1"/>
      <c r="W18" s="1"/>
      <c r="X18" s="1"/>
      <c r="Z18" s="1"/>
      <c r="AA18" s="1"/>
      <c r="AB18" s="1"/>
    </row>
    <row r="19" spans="2:28" x14ac:dyDescent="0.3">
      <c r="B19" s="131" t="s">
        <v>212</v>
      </c>
      <c r="C19" s="132"/>
      <c r="D19" s="132"/>
      <c r="E19" s="133"/>
      <c r="I19" s="11"/>
      <c r="K19" s="129"/>
      <c r="P19"/>
      <c r="Q19" s="130"/>
      <c r="S19" s="1"/>
      <c r="T19" s="1"/>
      <c r="W19" s="1"/>
      <c r="X19" s="1"/>
      <c r="Z19" s="1"/>
      <c r="AA19" s="1"/>
      <c r="AB19" s="1"/>
    </row>
    <row r="20" spans="2:28" x14ac:dyDescent="0.3">
      <c r="B20" s="3" t="s">
        <v>213</v>
      </c>
      <c r="C20" s="7" t="s">
        <v>214</v>
      </c>
      <c r="D20" s="7" t="s">
        <v>128</v>
      </c>
      <c r="E20" s="5" t="s">
        <v>215</v>
      </c>
      <c r="I20" s="11"/>
      <c r="K20" s="129"/>
      <c r="P20"/>
      <c r="Q20" s="130"/>
      <c r="S20" s="1"/>
      <c r="T20" s="1"/>
      <c r="W20" s="1"/>
      <c r="X20" s="1"/>
      <c r="Z20" s="1"/>
      <c r="AA20" s="1"/>
      <c r="AB20" s="1"/>
    </row>
    <row r="21" spans="2:28" ht="15" thickBot="1" x14ac:dyDescent="0.35">
      <c r="B21" s="85">
        <v>0.3</v>
      </c>
      <c r="C21" s="86">
        <v>0.25</v>
      </c>
      <c r="D21" s="86">
        <v>0.25</v>
      </c>
      <c r="E21" s="26">
        <v>1.1000000000000001</v>
      </c>
      <c r="I21" s="11"/>
      <c r="K21" s="129"/>
      <c r="P21"/>
      <c r="Q21" s="130"/>
      <c r="S21" s="1"/>
      <c r="T21" s="1"/>
      <c r="W21" s="1"/>
      <c r="X21" s="1"/>
      <c r="Z21" s="1"/>
      <c r="AA21" s="1"/>
      <c r="AB21" s="1"/>
    </row>
    <row r="22" spans="2:28" ht="15" thickBot="1" x14ac:dyDescent="0.35">
      <c r="C22"/>
      <c r="I22" s="11"/>
      <c r="K22" s="129"/>
      <c r="P22"/>
      <c r="Q22" s="130"/>
      <c r="S22" s="1"/>
      <c r="T22" s="1"/>
      <c r="W22" s="1"/>
      <c r="X22" s="1"/>
      <c r="Z22" s="1"/>
      <c r="AA22" s="1"/>
      <c r="AB22" s="1"/>
    </row>
    <row r="23" spans="2:28" x14ac:dyDescent="0.3">
      <c r="B23" s="134" t="s">
        <v>216</v>
      </c>
      <c r="C23" s="135"/>
      <c r="I23" s="11"/>
      <c r="K23" s="129"/>
      <c r="P23"/>
      <c r="Q23" s="130"/>
      <c r="S23" s="1"/>
      <c r="T23" s="1"/>
      <c r="W23" s="1"/>
      <c r="X23" s="1"/>
      <c r="Z23" s="1"/>
      <c r="AA23" s="1"/>
      <c r="AB23" s="1"/>
    </row>
    <row r="24" spans="2:28" x14ac:dyDescent="0.3">
      <c r="B24" s="77" t="s">
        <v>217</v>
      </c>
      <c r="C24" s="78">
        <v>0.35</v>
      </c>
      <c r="I24" s="11"/>
      <c r="K24" s="129"/>
      <c r="P24"/>
      <c r="Q24" s="130"/>
      <c r="S24" s="1"/>
      <c r="T24" s="1"/>
      <c r="W24" s="1"/>
      <c r="X24" s="1"/>
      <c r="Z24" s="1"/>
      <c r="AA24" s="1"/>
      <c r="AB24" s="1"/>
    </row>
    <row r="25" spans="2:28" ht="15" thickBot="1" x14ac:dyDescent="0.35">
      <c r="B25" s="76" t="s">
        <v>218</v>
      </c>
      <c r="C25" s="79">
        <v>0.08</v>
      </c>
      <c r="I25" s="11"/>
      <c r="K25" s="129"/>
      <c r="P25"/>
      <c r="Q25" s="130"/>
      <c r="S25" s="1"/>
      <c r="T25" s="1"/>
      <c r="W25" s="1"/>
      <c r="X25" s="1"/>
      <c r="Z25" s="1"/>
      <c r="AA25" s="1"/>
      <c r="AB25" s="1"/>
    </row>
    <row r="26" spans="2:28" x14ac:dyDescent="0.3">
      <c r="C26"/>
      <c r="I26" s="11"/>
      <c r="K26" s="129"/>
      <c r="P26"/>
      <c r="Q26" s="130"/>
      <c r="S26" s="1"/>
      <c r="T26" s="1"/>
      <c r="W26" s="1"/>
      <c r="X26" s="1"/>
      <c r="Z26" s="1"/>
      <c r="AA26" s="1"/>
      <c r="AB26" s="1"/>
    </row>
    <row r="27" spans="2:28" ht="15" thickBot="1" x14ac:dyDescent="0.35">
      <c r="D27" s="1"/>
      <c r="I27" s="11"/>
      <c r="K27" s="129"/>
      <c r="P27"/>
      <c r="Q27" s="130"/>
      <c r="S27" s="1"/>
      <c r="T27" s="1"/>
      <c r="W27" s="1"/>
      <c r="X27" s="1"/>
      <c r="Z27" s="1"/>
      <c r="AA27" s="1"/>
      <c r="AB27" s="1"/>
    </row>
    <row r="28" spans="2:28" x14ac:dyDescent="0.3">
      <c r="B28" s="136" t="s">
        <v>219</v>
      </c>
      <c r="C28" s="137"/>
      <c r="D28" s="137"/>
      <c r="E28" s="137"/>
      <c r="F28" s="137"/>
      <c r="G28" s="137"/>
      <c r="H28" s="137"/>
      <c r="I28" s="137"/>
      <c r="J28" s="137"/>
      <c r="K28" s="138"/>
      <c r="P28"/>
      <c r="Q28" s="130"/>
      <c r="S28" s="1"/>
      <c r="T28" s="1"/>
      <c r="W28" s="1"/>
      <c r="X28" s="1"/>
      <c r="Z28" s="1"/>
      <c r="AA28" s="1"/>
      <c r="AB28" s="1"/>
    </row>
    <row r="29" spans="2:28" ht="43.2" x14ac:dyDescent="0.3">
      <c r="B29" s="73" t="s">
        <v>220</v>
      </c>
      <c r="C29" s="70" t="s">
        <v>130</v>
      </c>
      <c r="D29" s="71" t="s">
        <v>207</v>
      </c>
      <c r="E29" s="71" t="s">
        <v>158</v>
      </c>
      <c r="F29" s="71" t="s">
        <v>206</v>
      </c>
      <c r="G29" s="74" t="s">
        <v>218</v>
      </c>
      <c r="H29" s="70" t="s">
        <v>114</v>
      </c>
      <c r="I29" s="70"/>
      <c r="J29" s="75" t="s">
        <v>221</v>
      </c>
      <c r="K29" s="72"/>
      <c r="P29"/>
      <c r="Q29" s="130"/>
      <c r="S29" s="1"/>
      <c r="T29" s="1"/>
      <c r="W29" s="1"/>
      <c r="X29" s="1"/>
      <c r="Z29" s="1"/>
      <c r="AA29" s="1"/>
      <c r="AB29" s="1"/>
    </row>
    <row r="30" spans="2:28" s="13" customFormat="1" ht="28.8" x14ac:dyDescent="0.3">
      <c r="B30" s="139" t="s">
        <v>157</v>
      </c>
      <c r="C30" s="13">
        <v>2</v>
      </c>
      <c r="D30" s="140">
        <v>2.2999999999999998</v>
      </c>
      <c r="E30" s="140">
        <v>2.2999999999999998</v>
      </c>
      <c r="F30" s="140">
        <v>2.2999999999999998</v>
      </c>
      <c r="G30" s="141">
        <v>1.6</v>
      </c>
      <c r="H30" s="142" t="s">
        <v>159</v>
      </c>
      <c r="I30" s="143">
        <v>4.8</v>
      </c>
      <c r="J30" s="142" t="s">
        <v>222</v>
      </c>
      <c r="K30" s="144">
        <v>0.75</v>
      </c>
      <c r="L30" s="140"/>
      <c r="M30" s="140"/>
      <c r="N30" s="140"/>
      <c r="O30" s="140"/>
      <c r="Q30" s="145"/>
      <c r="S30" s="140"/>
      <c r="T30" s="140"/>
      <c r="U30" s="140"/>
      <c r="V30" s="140"/>
      <c r="W30" s="140"/>
      <c r="X30" s="140"/>
      <c r="Z30" s="140"/>
      <c r="AA30" s="140"/>
      <c r="AB30" s="140"/>
    </row>
    <row r="31" spans="2:28" s="13" customFormat="1" ht="28.8" x14ac:dyDescent="0.3">
      <c r="B31" s="146" t="s">
        <v>223</v>
      </c>
      <c r="C31" s="13">
        <v>1.6</v>
      </c>
      <c r="D31" s="140">
        <v>2.2999999999999998</v>
      </c>
      <c r="E31" s="140">
        <v>2.2999999999999998</v>
      </c>
      <c r="F31" s="140">
        <v>2.2999999999999998</v>
      </c>
      <c r="G31" s="147">
        <v>0.75</v>
      </c>
      <c r="H31" s="142" t="s">
        <v>224</v>
      </c>
      <c r="I31" s="148">
        <v>3.1</v>
      </c>
      <c r="J31" s="142" t="s">
        <v>225</v>
      </c>
      <c r="K31" s="144">
        <v>1.6</v>
      </c>
      <c r="L31" s="140"/>
      <c r="M31" s="140"/>
      <c r="N31" s="140"/>
      <c r="O31" s="140"/>
      <c r="Q31" s="145"/>
      <c r="S31" s="140"/>
      <c r="T31" s="140"/>
      <c r="U31" s="140"/>
      <c r="V31" s="140"/>
      <c r="W31" s="140"/>
      <c r="X31" s="140"/>
      <c r="Z31" s="140"/>
      <c r="AA31" s="140"/>
      <c r="AB31" s="140"/>
    </row>
    <row r="32" spans="2:28" s="13" customFormat="1" ht="28.8" x14ac:dyDescent="0.3">
      <c r="B32" s="139" t="s">
        <v>226</v>
      </c>
      <c r="C32" s="13">
        <v>1.6</v>
      </c>
      <c r="D32" s="13">
        <v>1.5</v>
      </c>
      <c r="E32" s="13">
        <v>1.5</v>
      </c>
      <c r="F32" s="13">
        <v>1.5</v>
      </c>
      <c r="G32" s="147">
        <v>0.75</v>
      </c>
      <c r="H32" s="142" t="s">
        <v>227</v>
      </c>
      <c r="I32" s="148">
        <v>2</v>
      </c>
      <c r="J32" s="142" t="s">
        <v>228</v>
      </c>
      <c r="K32" s="144">
        <v>0.25</v>
      </c>
      <c r="L32" s="140"/>
      <c r="M32" s="140"/>
      <c r="N32" s="140"/>
      <c r="O32" s="140"/>
      <c r="Q32" s="145"/>
      <c r="S32" s="140"/>
      <c r="T32" s="140"/>
      <c r="U32" s="140"/>
      <c r="V32" s="140"/>
      <c r="W32" s="140"/>
      <c r="X32" s="140"/>
      <c r="Z32" s="140"/>
      <c r="AA32" s="140"/>
      <c r="AB32" s="140"/>
    </row>
    <row r="33" spans="2:28" s="13" customFormat="1" ht="28.8" x14ac:dyDescent="0.3">
      <c r="B33" s="139" t="s">
        <v>229</v>
      </c>
      <c r="C33" s="13">
        <v>1</v>
      </c>
      <c r="D33" s="13">
        <v>0.68</v>
      </c>
      <c r="E33" s="13">
        <v>0.68</v>
      </c>
      <c r="F33" s="13">
        <v>0.68</v>
      </c>
      <c r="G33" s="147">
        <v>0.75</v>
      </c>
      <c r="H33" s="140"/>
      <c r="I33" s="147"/>
      <c r="J33" s="142" t="s">
        <v>230</v>
      </c>
      <c r="K33" s="144">
        <v>0.4</v>
      </c>
      <c r="L33" s="140"/>
      <c r="M33" s="140"/>
      <c r="N33" s="140"/>
      <c r="O33" s="140"/>
      <c r="Q33" s="145"/>
      <c r="S33" s="140"/>
      <c r="T33" s="140"/>
      <c r="U33" s="140"/>
      <c r="V33" s="140"/>
      <c r="W33" s="140"/>
      <c r="X33" s="140"/>
      <c r="Z33" s="140"/>
      <c r="AA33" s="140"/>
      <c r="AB33" s="140"/>
    </row>
    <row r="34" spans="2:28" s="13" customFormat="1" x14ac:dyDescent="0.3">
      <c r="B34" s="139" t="s">
        <v>231</v>
      </c>
      <c r="C34" s="13">
        <v>0.6</v>
      </c>
      <c r="D34" s="13">
        <v>0.4</v>
      </c>
      <c r="E34" s="13">
        <v>0.4</v>
      </c>
      <c r="F34" s="13">
        <v>0.4</v>
      </c>
      <c r="G34" s="149">
        <v>0.6</v>
      </c>
      <c r="I34" s="148"/>
      <c r="K34" s="150"/>
      <c r="L34" s="140"/>
      <c r="M34" s="140"/>
      <c r="N34" s="140"/>
      <c r="O34" s="140"/>
      <c r="Q34" s="145"/>
      <c r="S34" s="140"/>
      <c r="T34" s="140"/>
      <c r="U34" s="140"/>
      <c r="V34" s="140"/>
      <c r="W34" s="140"/>
      <c r="X34" s="140"/>
      <c r="Z34" s="140"/>
      <c r="AA34" s="140"/>
      <c r="AB34" s="140"/>
    </row>
    <row r="35" spans="2:28" s="13" customFormat="1" x14ac:dyDescent="0.3">
      <c r="B35" s="151" t="s">
        <v>232</v>
      </c>
      <c r="C35" s="152">
        <v>0.45</v>
      </c>
      <c r="D35" s="152">
        <v>0.35</v>
      </c>
      <c r="E35" s="152">
        <v>0.28999999999999998</v>
      </c>
      <c r="F35" s="152">
        <v>0.35</v>
      </c>
      <c r="G35" s="147">
        <v>0.6</v>
      </c>
      <c r="I35" s="148"/>
      <c r="K35" s="144"/>
      <c r="L35" s="140"/>
      <c r="M35" s="140"/>
      <c r="N35" s="140"/>
      <c r="O35" s="140"/>
      <c r="Q35" s="145"/>
      <c r="S35" s="140"/>
      <c r="T35" s="140"/>
      <c r="U35" s="140"/>
      <c r="V35" s="140"/>
      <c r="W35" s="140"/>
      <c r="X35" s="140"/>
      <c r="Z35" s="140"/>
      <c r="AA35" s="140"/>
      <c r="AB35" s="140"/>
    </row>
    <row r="36" spans="2:28" s="13" customFormat="1" x14ac:dyDescent="0.3">
      <c r="B36" s="139" t="s">
        <v>233</v>
      </c>
      <c r="C36" s="13">
        <v>0.45</v>
      </c>
      <c r="D36" s="152">
        <v>0.35</v>
      </c>
      <c r="E36" s="13">
        <v>0.26</v>
      </c>
      <c r="F36" s="13">
        <v>0.35</v>
      </c>
      <c r="G36" s="147">
        <v>0.45</v>
      </c>
      <c r="I36" s="148"/>
      <c r="K36" s="144"/>
      <c r="L36" s="140"/>
      <c r="M36" s="140"/>
      <c r="N36" s="140"/>
      <c r="O36" s="140"/>
      <c r="Q36" s="145"/>
      <c r="S36" s="140"/>
      <c r="T36" s="140"/>
      <c r="U36" s="140"/>
      <c r="V36" s="140"/>
      <c r="W36" s="140"/>
      <c r="X36" s="140"/>
      <c r="Z36" s="140"/>
      <c r="AA36" s="140"/>
      <c r="AB36" s="140"/>
    </row>
    <row r="37" spans="2:28" s="13" customFormat="1" x14ac:dyDescent="0.3">
      <c r="B37" s="139" t="s">
        <v>234</v>
      </c>
      <c r="C37" s="13">
        <v>0.45</v>
      </c>
      <c r="D37" s="13">
        <v>0.2</v>
      </c>
      <c r="E37" s="13">
        <v>0.16</v>
      </c>
      <c r="F37" s="13">
        <v>0.25</v>
      </c>
      <c r="G37" s="147">
        <v>0.35</v>
      </c>
      <c r="H37" s="152"/>
      <c r="I37" s="149"/>
      <c r="J37" s="152"/>
      <c r="K37" s="144"/>
      <c r="L37" s="140"/>
      <c r="M37" s="140"/>
      <c r="N37" s="140"/>
      <c r="O37" s="140"/>
      <c r="Q37" s="145"/>
      <c r="S37" s="140"/>
      <c r="T37" s="140"/>
      <c r="U37" s="140"/>
      <c r="V37" s="140"/>
      <c r="W37" s="140"/>
      <c r="X37" s="140"/>
      <c r="Z37" s="140"/>
      <c r="AA37" s="140"/>
      <c r="AB37" s="140"/>
    </row>
    <row r="38" spans="2:28" s="13" customFormat="1" ht="15" thickBot="1" x14ac:dyDescent="0.35">
      <c r="B38" s="153" t="s">
        <v>235</v>
      </c>
      <c r="C38" s="154">
        <v>0.3</v>
      </c>
      <c r="D38" s="154">
        <v>0.2</v>
      </c>
      <c r="E38" s="154">
        <v>0.16</v>
      </c>
      <c r="F38" s="154">
        <v>0.25</v>
      </c>
      <c r="G38" s="155">
        <v>0.25</v>
      </c>
      <c r="H38" s="154"/>
      <c r="I38" s="156"/>
      <c r="J38" s="154"/>
      <c r="K38" s="157"/>
      <c r="L38" s="140"/>
      <c r="M38" s="140"/>
      <c r="N38" s="140"/>
      <c r="O38" s="140"/>
      <c r="Q38" s="145"/>
      <c r="S38" s="140"/>
      <c r="T38" s="140"/>
      <c r="U38" s="140"/>
      <c r="V38" s="140"/>
      <c r="W38" s="140"/>
      <c r="X38" s="140"/>
      <c r="Z38" s="140"/>
      <c r="AA38" s="140"/>
      <c r="AB38" s="140"/>
    </row>
    <row r="39" spans="2:28" x14ac:dyDescent="0.3">
      <c r="D39" s="1"/>
      <c r="I39" s="11"/>
      <c r="K39" s="129"/>
      <c r="P39"/>
      <c r="Q39" s="130"/>
      <c r="S39" s="1"/>
      <c r="T39" s="1"/>
      <c r="W39" s="1"/>
      <c r="X39" s="1"/>
      <c r="Z39" s="1"/>
      <c r="AA39" s="1"/>
      <c r="AB39" s="1"/>
    </row>
    <row r="40" spans="2:28" x14ac:dyDescent="0.3">
      <c r="D40" s="1"/>
      <c r="I40" s="11"/>
      <c r="K40" s="129"/>
      <c r="P40"/>
      <c r="Q40" s="130"/>
      <c r="S40" s="1"/>
      <c r="T40" s="1"/>
      <c r="W40" s="1"/>
      <c r="X40" s="1"/>
      <c r="Z40" s="1"/>
      <c r="AA40" s="1"/>
      <c r="AB40" s="1"/>
    </row>
    <row r="41" spans="2:28" ht="15" thickBot="1" x14ac:dyDescent="0.35">
      <c r="D41" s="1"/>
      <c r="I41" s="11"/>
      <c r="K41" s="129"/>
      <c r="P41"/>
      <c r="Q41" s="130"/>
      <c r="S41" s="1"/>
      <c r="T41" s="1"/>
      <c r="W41" s="1"/>
      <c r="X41" s="1"/>
      <c r="Z41" s="1"/>
      <c r="AA41" s="1"/>
      <c r="AB41" s="1"/>
    </row>
    <row r="42" spans="2:28" x14ac:dyDescent="0.3">
      <c r="B42" s="158"/>
      <c r="C42" s="159" t="s">
        <v>236</v>
      </c>
      <c r="D42" s="160"/>
      <c r="E42" s="160"/>
      <c r="F42" s="160"/>
      <c r="G42" s="160"/>
      <c r="H42" s="160"/>
      <c r="I42" s="160"/>
      <c r="J42" s="160"/>
      <c r="K42" s="161"/>
      <c r="M42" s="299" t="s">
        <v>237</v>
      </c>
      <c r="P42"/>
      <c r="Q42" s="130"/>
      <c r="S42" s="1"/>
      <c r="T42" s="1"/>
      <c r="W42" s="1"/>
      <c r="X42" s="1"/>
      <c r="Z42" s="1"/>
      <c r="AA42" s="1"/>
      <c r="AB42" s="1"/>
    </row>
    <row r="43" spans="2:28" ht="28.8" x14ac:dyDescent="0.3">
      <c r="B43" s="162"/>
      <c r="C43" s="33" t="s">
        <v>238</v>
      </c>
      <c r="D43" s="23" t="s">
        <v>184</v>
      </c>
      <c r="E43" s="23" t="s">
        <v>239</v>
      </c>
      <c r="F43" s="33" t="s">
        <v>240</v>
      </c>
      <c r="G43" s="33" t="s">
        <v>128</v>
      </c>
      <c r="H43" s="23" t="s">
        <v>241</v>
      </c>
      <c r="I43" s="33" t="s">
        <v>242</v>
      </c>
      <c r="J43" s="33" t="s">
        <v>183</v>
      </c>
      <c r="K43" s="163" t="s">
        <v>243</v>
      </c>
      <c r="M43" s="1">
        <v>2021</v>
      </c>
      <c r="N43" s="300">
        <v>2.5000000000000001E-2</v>
      </c>
      <c r="P43"/>
      <c r="Q43" s="130"/>
      <c r="S43" s="1"/>
      <c r="T43" s="1"/>
      <c r="W43" s="1"/>
      <c r="X43" s="1"/>
      <c r="Z43" s="1"/>
      <c r="AA43" s="1"/>
      <c r="AB43" s="1"/>
    </row>
    <row r="44" spans="2:28" ht="16.2" x14ac:dyDescent="0.3">
      <c r="B44" s="164" t="s">
        <v>244</v>
      </c>
      <c r="C44" s="12">
        <f>(122-16)*$N$45</f>
        <v>117.23334999999999</v>
      </c>
      <c r="D44" s="12">
        <f>16*$N$45</f>
        <v>17.695599999999999</v>
      </c>
      <c r="E44" s="12">
        <f>320*$N$45</f>
        <v>353.91199999999998</v>
      </c>
      <c r="F44" s="12">
        <f>143*$N$45</f>
        <v>158.154425</v>
      </c>
      <c r="G44" s="12">
        <f>146*$N$45</f>
        <v>161.47234999999998</v>
      </c>
      <c r="H44" s="12">
        <f>490*$N$45</f>
        <v>541.92774999999995</v>
      </c>
      <c r="I44" s="12">
        <f>626*$N$45</f>
        <v>692.34034999999994</v>
      </c>
      <c r="J44" s="12">
        <f>354*$N$45</f>
        <v>391.51514999999995</v>
      </c>
      <c r="K44" s="165">
        <f>H44</f>
        <v>541.92774999999995</v>
      </c>
      <c r="M44" s="1">
        <v>2022</v>
      </c>
      <c r="N44" s="300">
        <v>7.9000000000000001E-2</v>
      </c>
      <c r="P44"/>
      <c r="Q44" s="130"/>
      <c r="S44" s="1"/>
      <c r="T44" s="1"/>
      <c r="W44" s="1"/>
      <c r="X44" s="1"/>
      <c r="Z44" s="1"/>
      <c r="AA44" s="1"/>
      <c r="AB44" s="1"/>
    </row>
    <row r="45" spans="2:28" ht="16.8" thickBot="1" x14ac:dyDescent="0.35">
      <c r="B45" s="76" t="s">
        <v>245</v>
      </c>
      <c r="C45" s="166">
        <f>C44*1.2</f>
        <v>140.68001999999998</v>
      </c>
      <c r="D45" s="166">
        <f t="shared" ref="D45:J45" si="0">D44*1.2</f>
        <v>21.234719999999999</v>
      </c>
      <c r="E45" s="166">
        <f t="shared" si="0"/>
        <v>424.69439999999997</v>
      </c>
      <c r="F45" s="166">
        <f t="shared" si="0"/>
        <v>189.78531000000001</v>
      </c>
      <c r="G45" s="166">
        <f t="shared" si="0"/>
        <v>193.76681999999997</v>
      </c>
      <c r="H45" s="166">
        <f t="shared" si="0"/>
        <v>650.31329999999991</v>
      </c>
      <c r="I45" s="166">
        <f t="shared" si="0"/>
        <v>830.80841999999996</v>
      </c>
      <c r="J45" s="166">
        <f t="shared" si="0"/>
        <v>469.81817999999993</v>
      </c>
      <c r="K45" s="167">
        <f>((H44*0.6*3)+(H44*0.4))*1.2</f>
        <v>1430.6892599999999</v>
      </c>
      <c r="N45" s="300">
        <f>(1+N43)*(1+N44)</f>
        <v>1.1059749999999999</v>
      </c>
      <c r="O45" s="99" t="s">
        <v>246</v>
      </c>
      <c r="P45"/>
      <c r="Q45" s="130"/>
      <c r="S45" s="1"/>
      <c r="T45" s="1"/>
      <c r="W45" s="1"/>
      <c r="X45" s="1"/>
      <c r="Z45" s="1"/>
      <c r="AA45" s="1"/>
      <c r="AB45" s="1"/>
    </row>
    <row r="46" spans="2:28" x14ac:dyDescent="0.3">
      <c r="D46" s="1"/>
      <c r="I46" s="11"/>
      <c r="K46" s="129"/>
      <c r="L46" s="301"/>
      <c r="M46" s="301"/>
      <c r="N46" s="301"/>
      <c r="P46"/>
      <c r="Q46" s="130"/>
      <c r="S46" s="1"/>
      <c r="T46" s="1"/>
      <c r="W46" s="1"/>
      <c r="X46" s="1"/>
      <c r="Z46" s="1"/>
      <c r="AA46" s="1"/>
      <c r="AB46" s="1"/>
    </row>
    <row r="47" spans="2:28" x14ac:dyDescent="0.3">
      <c r="D47" s="1"/>
      <c r="I47" s="11"/>
      <c r="K47" s="129"/>
      <c r="M47" s="301"/>
      <c r="N47" s="301"/>
      <c r="P47"/>
      <c r="Q47" s="130"/>
      <c r="S47" s="1"/>
      <c r="T47" s="1"/>
      <c r="W47" s="1"/>
      <c r="X47" s="1"/>
      <c r="Z47" s="1"/>
      <c r="AA47" s="1"/>
      <c r="AB47" s="1"/>
    </row>
    <row r="48" spans="2:28" x14ac:dyDescent="0.3">
      <c r="D48" s="1"/>
      <c r="I48" s="11"/>
      <c r="S48" s="1"/>
      <c r="T48" s="1"/>
      <c r="W48" s="65"/>
      <c r="X48" s="65"/>
      <c r="Z48" s="1"/>
      <c r="AA48" s="1"/>
      <c r="AB48" s="1"/>
    </row>
    <row r="49" spans="2:28" ht="15" thickBot="1" x14ac:dyDescent="0.35">
      <c r="B49" s="16" t="s">
        <v>247</v>
      </c>
      <c r="S49" s="24"/>
      <c r="T49" s="64"/>
      <c r="W49" s="10"/>
      <c r="X49" s="10"/>
    </row>
    <row r="50" spans="2:28" x14ac:dyDescent="0.3">
      <c r="B50" s="87"/>
      <c r="C50" s="88" t="s">
        <v>131</v>
      </c>
      <c r="D50" s="88" t="s">
        <v>132</v>
      </c>
      <c r="E50" s="88" t="s">
        <v>133</v>
      </c>
      <c r="F50" s="88" t="s">
        <v>134</v>
      </c>
      <c r="G50" s="88" t="s">
        <v>135</v>
      </c>
      <c r="H50" s="88" t="s">
        <v>136</v>
      </c>
      <c r="I50" s="88" t="s">
        <v>137</v>
      </c>
      <c r="J50" s="88" t="s">
        <v>138</v>
      </c>
      <c r="K50" s="88" t="s">
        <v>139</v>
      </c>
      <c r="L50" s="88" t="s">
        <v>140</v>
      </c>
      <c r="M50" s="88" t="s">
        <v>141</v>
      </c>
      <c r="N50" s="88" t="s">
        <v>142</v>
      </c>
      <c r="O50" s="89" t="s">
        <v>248</v>
      </c>
      <c r="S50" s="24"/>
      <c r="T50" s="64"/>
      <c r="W50" s="10"/>
      <c r="X50" s="10"/>
    </row>
    <row r="51" spans="2:28" x14ac:dyDescent="0.3">
      <c r="B51" s="90" t="s">
        <v>249</v>
      </c>
      <c r="C51" s="2">
        <v>5.0999999999999996</v>
      </c>
      <c r="D51" s="2">
        <v>5.6</v>
      </c>
      <c r="E51" s="2">
        <v>7.4</v>
      </c>
      <c r="F51" s="2">
        <v>9.9</v>
      </c>
      <c r="G51" s="2">
        <v>13</v>
      </c>
      <c r="H51" s="2">
        <v>16</v>
      </c>
      <c r="I51" s="2">
        <v>17.899999999999999</v>
      </c>
      <c r="J51" s="2">
        <v>17.8</v>
      </c>
      <c r="K51" s="2">
        <v>15.2</v>
      </c>
      <c r="L51" s="2">
        <v>11.6</v>
      </c>
      <c r="M51" s="2">
        <v>8</v>
      </c>
      <c r="N51" s="2">
        <v>5.0999999999999996</v>
      </c>
      <c r="O51" s="91">
        <f t="shared" ref="O51:O71" si="1">AVERAGE(C51:N51)</f>
        <v>11.049999999999999</v>
      </c>
      <c r="S51" s="24"/>
      <c r="T51" s="64"/>
      <c r="W51" s="10"/>
      <c r="X51" s="10"/>
    </row>
    <row r="52" spans="2:28" x14ac:dyDescent="0.3">
      <c r="B52" s="90" t="s">
        <v>250</v>
      </c>
      <c r="C52" s="2">
        <v>5</v>
      </c>
      <c r="D52" s="2">
        <v>5.4</v>
      </c>
      <c r="E52" s="2">
        <v>7.1</v>
      </c>
      <c r="F52" s="2">
        <v>9.5</v>
      </c>
      <c r="G52" s="2">
        <v>12.6</v>
      </c>
      <c r="H52" s="2">
        <v>15.4</v>
      </c>
      <c r="I52" s="2">
        <v>17.399999999999999</v>
      </c>
      <c r="J52" s="2">
        <v>17.5</v>
      </c>
      <c r="K52" s="2">
        <v>15</v>
      </c>
      <c r="L52" s="2">
        <v>11.7</v>
      </c>
      <c r="M52" s="2">
        <v>8.1</v>
      </c>
      <c r="N52" s="2">
        <v>5.2</v>
      </c>
      <c r="O52" s="91">
        <f t="shared" si="1"/>
        <v>10.825000000000001</v>
      </c>
      <c r="S52" s="24"/>
      <c r="T52" s="64"/>
      <c r="W52" s="66"/>
      <c r="X52" s="66"/>
      <c r="Y52" s="21"/>
      <c r="Z52" s="21"/>
      <c r="AA52" s="21"/>
      <c r="AB52" s="21"/>
    </row>
    <row r="53" spans="2:28" x14ac:dyDescent="0.3">
      <c r="B53" s="90" t="s">
        <v>251</v>
      </c>
      <c r="C53" s="2">
        <v>5.4</v>
      </c>
      <c r="D53" s="2">
        <v>5.7</v>
      </c>
      <c r="E53" s="2">
        <v>7.3</v>
      </c>
      <c r="F53" s="2">
        <v>9.6</v>
      </c>
      <c r="G53" s="2">
        <v>12.6</v>
      </c>
      <c r="H53" s="2">
        <v>15.4</v>
      </c>
      <c r="I53" s="2">
        <v>17.3</v>
      </c>
      <c r="J53" s="2">
        <v>17.3</v>
      </c>
      <c r="K53" s="2">
        <v>15</v>
      </c>
      <c r="L53" s="2">
        <v>11.8</v>
      </c>
      <c r="M53" s="2">
        <v>8.4</v>
      </c>
      <c r="N53" s="2">
        <v>5.5</v>
      </c>
      <c r="O53" s="91">
        <f t="shared" si="1"/>
        <v>10.941666666666668</v>
      </c>
      <c r="S53" s="1"/>
      <c r="T53" s="1"/>
      <c r="W53" s="10"/>
      <c r="X53" s="10"/>
      <c r="Z53" s="21"/>
    </row>
    <row r="54" spans="2:28" x14ac:dyDescent="0.3">
      <c r="B54" s="90" t="s">
        <v>252</v>
      </c>
      <c r="C54" s="2">
        <v>6.1</v>
      </c>
      <c r="D54" s="2">
        <v>6.4</v>
      </c>
      <c r="E54" s="2">
        <v>7.5</v>
      </c>
      <c r="F54" s="2">
        <v>9.3000000000000007</v>
      </c>
      <c r="G54" s="2">
        <v>11.9</v>
      </c>
      <c r="H54" s="2">
        <v>14.5</v>
      </c>
      <c r="I54" s="2">
        <v>16.2</v>
      </c>
      <c r="J54" s="2">
        <v>16.3</v>
      </c>
      <c r="K54" s="2">
        <v>14.6</v>
      </c>
      <c r="L54" s="2">
        <v>11.8</v>
      </c>
      <c r="M54" s="2">
        <v>9</v>
      </c>
      <c r="N54" s="2">
        <v>6.4</v>
      </c>
      <c r="O54" s="91">
        <f t="shared" si="1"/>
        <v>10.833333333333334</v>
      </c>
      <c r="S54" s="1"/>
      <c r="T54" s="1"/>
      <c r="W54" s="10"/>
      <c r="X54" s="10"/>
    </row>
    <row r="55" spans="2:28" x14ac:dyDescent="0.3">
      <c r="B55" s="90" t="s">
        <v>253</v>
      </c>
      <c r="C55" s="2">
        <v>4.9000000000000004</v>
      </c>
      <c r="D55" s="2">
        <v>5.3</v>
      </c>
      <c r="E55" s="2">
        <v>7</v>
      </c>
      <c r="F55" s="2">
        <v>9.3000000000000007</v>
      </c>
      <c r="G55" s="2">
        <v>12.2</v>
      </c>
      <c r="H55" s="2">
        <v>15</v>
      </c>
      <c r="I55" s="2">
        <v>16.7</v>
      </c>
      <c r="J55" s="2">
        <v>16.7</v>
      </c>
      <c r="K55" s="2">
        <v>14.4</v>
      </c>
      <c r="L55" s="2">
        <v>11.1</v>
      </c>
      <c r="M55" s="2">
        <v>7.8</v>
      </c>
      <c r="N55" s="2">
        <v>4.9000000000000004</v>
      </c>
      <c r="O55" s="91">
        <f t="shared" si="1"/>
        <v>10.441666666666668</v>
      </c>
      <c r="W55" s="10"/>
      <c r="X55" s="10"/>
    </row>
    <row r="56" spans="2:28" x14ac:dyDescent="0.3">
      <c r="B56" s="92" t="s">
        <v>79</v>
      </c>
      <c r="C56" s="2">
        <v>4.3</v>
      </c>
      <c r="D56" s="2">
        <v>4.8</v>
      </c>
      <c r="E56" s="2">
        <v>6.6</v>
      </c>
      <c r="F56" s="2">
        <v>9</v>
      </c>
      <c r="G56" s="2">
        <v>11.8</v>
      </c>
      <c r="H56" s="2">
        <v>14.8</v>
      </c>
      <c r="I56" s="2">
        <v>16.600000000000001</v>
      </c>
      <c r="J56" s="2">
        <v>16.5</v>
      </c>
      <c r="K56" s="2">
        <v>14</v>
      </c>
      <c r="L56" s="2">
        <v>10.5</v>
      </c>
      <c r="M56" s="2">
        <v>7.1</v>
      </c>
      <c r="N56" s="2">
        <v>4.2</v>
      </c>
      <c r="O56" s="91">
        <f t="shared" si="1"/>
        <v>10.016666666666667</v>
      </c>
    </row>
    <row r="57" spans="2:28" ht="28.8" x14ac:dyDescent="0.3">
      <c r="B57" s="90" t="s">
        <v>254</v>
      </c>
      <c r="C57" s="2">
        <v>4.7</v>
      </c>
      <c r="D57" s="2">
        <v>5.2</v>
      </c>
      <c r="E57" s="2">
        <v>6.7</v>
      </c>
      <c r="F57" s="2">
        <v>9.1</v>
      </c>
      <c r="G57" s="2">
        <v>12</v>
      </c>
      <c r="H57" s="2">
        <v>14.7</v>
      </c>
      <c r="I57" s="2">
        <v>16.399999999999999</v>
      </c>
      <c r="J57" s="2">
        <v>16.3</v>
      </c>
      <c r="K57" s="2">
        <v>14.1</v>
      </c>
      <c r="L57" s="2">
        <v>10.7</v>
      </c>
      <c r="M57" s="2">
        <v>7.5</v>
      </c>
      <c r="N57" s="2">
        <v>4.5999999999999996</v>
      </c>
      <c r="O57" s="91">
        <f t="shared" si="1"/>
        <v>10.166666666666666</v>
      </c>
    </row>
    <row r="58" spans="2:28" ht="28.8" x14ac:dyDescent="0.3">
      <c r="B58" s="90" t="s">
        <v>255</v>
      </c>
      <c r="C58" s="2">
        <v>3.9</v>
      </c>
      <c r="D58" s="2">
        <v>4.3</v>
      </c>
      <c r="E58" s="2">
        <v>5.6</v>
      </c>
      <c r="F58" s="2">
        <v>7.9</v>
      </c>
      <c r="G58" s="2">
        <v>10.7</v>
      </c>
      <c r="H58" s="2">
        <v>13.2</v>
      </c>
      <c r="I58" s="2">
        <v>14.9</v>
      </c>
      <c r="J58" s="2">
        <v>14.8</v>
      </c>
      <c r="K58" s="2">
        <v>12.8</v>
      </c>
      <c r="L58" s="2">
        <v>9.6999999999999993</v>
      </c>
      <c r="M58" s="2">
        <v>6.6</v>
      </c>
      <c r="N58" s="2">
        <v>3.7</v>
      </c>
      <c r="O58" s="91">
        <f t="shared" si="1"/>
        <v>9.0083333333333329</v>
      </c>
    </row>
    <row r="59" spans="2:28" ht="28.8" x14ac:dyDescent="0.3">
      <c r="B59" s="90" t="s">
        <v>256</v>
      </c>
      <c r="C59" s="2">
        <v>4</v>
      </c>
      <c r="D59" s="2">
        <v>4.5</v>
      </c>
      <c r="E59" s="2">
        <v>5.8</v>
      </c>
      <c r="F59" s="2">
        <v>7.9</v>
      </c>
      <c r="G59" s="2">
        <v>10.4</v>
      </c>
      <c r="H59" s="2">
        <v>13.3</v>
      </c>
      <c r="I59" s="2">
        <v>15.2</v>
      </c>
      <c r="J59" s="2">
        <v>15.1</v>
      </c>
      <c r="K59" s="2">
        <v>13.1</v>
      </c>
      <c r="L59" s="2">
        <v>9.6999999999999993</v>
      </c>
      <c r="M59" s="2">
        <v>6.6</v>
      </c>
      <c r="N59" s="2">
        <v>3.7</v>
      </c>
      <c r="O59" s="91">
        <f t="shared" si="1"/>
        <v>9.1083333333333325</v>
      </c>
    </row>
    <row r="60" spans="2:28" x14ac:dyDescent="0.3">
      <c r="B60" s="90" t="s">
        <v>257</v>
      </c>
      <c r="C60" s="2">
        <v>4</v>
      </c>
      <c r="D60" s="2">
        <v>4.5999999999999996</v>
      </c>
      <c r="E60" s="2">
        <v>6.1</v>
      </c>
      <c r="F60" s="2">
        <v>8.3000000000000007</v>
      </c>
      <c r="G60" s="2">
        <v>10.9</v>
      </c>
      <c r="H60" s="2">
        <v>13.8</v>
      </c>
      <c r="I60" s="2">
        <v>15.8</v>
      </c>
      <c r="J60" s="2">
        <v>15.6</v>
      </c>
      <c r="K60" s="2">
        <v>13.5</v>
      </c>
      <c r="L60" s="2">
        <v>10.1</v>
      </c>
      <c r="M60" s="2">
        <v>6.7</v>
      </c>
      <c r="N60" s="2">
        <v>3.8</v>
      </c>
      <c r="O60" s="91">
        <f t="shared" si="1"/>
        <v>9.4333333333333318</v>
      </c>
    </row>
    <row r="61" spans="2:28" x14ac:dyDescent="0.3">
      <c r="B61" s="90" t="s">
        <v>258</v>
      </c>
      <c r="C61" s="2">
        <v>4.3</v>
      </c>
      <c r="D61" s="2">
        <v>4.9000000000000004</v>
      </c>
      <c r="E61" s="2">
        <v>6.5</v>
      </c>
      <c r="F61" s="2">
        <v>8.9</v>
      </c>
      <c r="G61" s="2">
        <v>11.7</v>
      </c>
      <c r="H61" s="2">
        <v>14.6</v>
      </c>
      <c r="I61" s="2">
        <v>16.600000000000001</v>
      </c>
      <c r="J61" s="2">
        <v>16.399999999999999</v>
      </c>
      <c r="K61" s="2">
        <v>14.1</v>
      </c>
      <c r="L61" s="2">
        <v>10.6</v>
      </c>
      <c r="M61" s="2">
        <v>7.1</v>
      </c>
      <c r="N61" s="2">
        <v>4.2</v>
      </c>
      <c r="O61" s="91">
        <f t="shared" si="1"/>
        <v>9.9916666666666654</v>
      </c>
    </row>
    <row r="62" spans="2:28" x14ac:dyDescent="0.3">
      <c r="B62" s="90" t="s">
        <v>259</v>
      </c>
      <c r="C62" s="2">
        <v>4.7</v>
      </c>
      <c r="D62" s="2">
        <v>5.2</v>
      </c>
      <c r="E62" s="2">
        <v>7</v>
      </c>
      <c r="F62" s="2">
        <v>9.5</v>
      </c>
      <c r="G62" s="2">
        <v>12.5</v>
      </c>
      <c r="H62" s="2">
        <v>15.4</v>
      </c>
      <c r="I62" s="2">
        <v>17.600000000000001</v>
      </c>
      <c r="J62" s="2">
        <v>17.600000000000001</v>
      </c>
      <c r="K62" s="2">
        <v>15</v>
      </c>
      <c r="L62" s="2">
        <v>11.4</v>
      </c>
      <c r="M62" s="2">
        <v>7.7</v>
      </c>
      <c r="N62" s="2">
        <v>4.7</v>
      </c>
      <c r="O62" s="91">
        <f t="shared" si="1"/>
        <v>10.691666666666668</v>
      </c>
    </row>
    <row r="63" spans="2:28" x14ac:dyDescent="0.3">
      <c r="B63" s="90" t="s">
        <v>260</v>
      </c>
      <c r="C63" s="2">
        <v>5</v>
      </c>
      <c r="D63" s="2">
        <v>5.3</v>
      </c>
      <c r="E63" s="2">
        <v>6.5</v>
      </c>
      <c r="F63" s="2">
        <v>8.5</v>
      </c>
      <c r="G63" s="2">
        <v>11.2</v>
      </c>
      <c r="H63" s="2">
        <v>13.7</v>
      </c>
      <c r="I63" s="2">
        <v>15.3</v>
      </c>
      <c r="J63" s="2">
        <v>15.3</v>
      </c>
      <c r="K63" s="2">
        <v>13.5</v>
      </c>
      <c r="L63" s="2">
        <v>10.7</v>
      </c>
      <c r="M63" s="2">
        <v>7.8</v>
      </c>
      <c r="N63" s="2">
        <v>5.2</v>
      </c>
      <c r="O63" s="91">
        <f t="shared" si="1"/>
        <v>9.8333333333333339</v>
      </c>
    </row>
    <row r="64" spans="2:28" x14ac:dyDescent="0.3">
      <c r="B64" s="90" t="s">
        <v>261</v>
      </c>
      <c r="C64" s="2">
        <v>4</v>
      </c>
      <c r="D64" s="2">
        <v>4.4000000000000004</v>
      </c>
      <c r="E64" s="2">
        <v>5.6</v>
      </c>
      <c r="F64" s="2">
        <v>7.9</v>
      </c>
      <c r="G64" s="2">
        <v>10.4</v>
      </c>
      <c r="H64" s="2">
        <v>13</v>
      </c>
      <c r="I64" s="2">
        <v>14.5</v>
      </c>
      <c r="J64" s="2">
        <v>14.4</v>
      </c>
      <c r="K64" s="2">
        <v>12.5</v>
      </c>
      <c r="L64" s="2">
        <v>9.3000000000000007</v>
      </c>
      <c r="M64" s="2">
        <v>6.5</v>
      </c>
      <c r="N64" s="2">
        <v>3.8</v>
      </c>
      <c r="O64" s="91">
        <f t="shared" si="1"/>
        <v>8.8583333333333325</v>
      </c>
    </row>
    <row r="65" spans="2:15" x14ac:dyDescent="0.3">
      <c r="B65" s="90" t="s">
        <v>262</v>
      </c>
      <c r="C65" s="2">
        <v>3.6</v>
      </c>
      <c r="D65" s="2">
        <v>4</v>
      </c>
      <c r="E65" s="2">
        <v>5.4</v>
      </c>
      <c r="F65" s="2">
        <v>7.7</v>
      </c>
      <c r="G65" s="2">
        <v>10.1</v>
      </c>
      <c r="H65" s="2">
        <v>12.9</v>
      </c>
      <c r="I65" s="2">
        <v>14.6</v>
      </c>
      <c r="J65" s="2">
        <v>14.5</v>
      </c>
      <c r="K65" s="2">
        <v>12.5</v>
      </c>
      <c r="L65" s="2">
        <v>9.1999999999999993</v>
      </c>
      <c r="M65" s="2">
        <v>6.1</v>
      </c>
      <c r="N65" s="2">
        <v>3.2</v>
      </c>
      <c r="O65" s="91">
        <f t="shared" si="1"/>
        <v>8.65</v>
      </c>
    </row>
    <row r="66" spans="2:15" x14ac:dyDescent="0.3">
      <c r="B66" s="90" t="s">
        <v>263</v>
      </c>
      <c r="C66" s="2">
        <v>3.3</v>
      </c>
      <c r="D66" s="2">
        <v>3.6</v>
      </c>
      <c r="E66" s="2">
        <v>5</v>
      </c>
      <c r="F66" s="2">
        <v>7.1</v>
      </c>
      <c r="G66" s="2">
        <v>9.3000000000000007</v>
      </c>
      <c r="H66" s="2">
        <v>12.2</v>
      </c>
      <c r="I66" s="2">
        <v>14</v>
      </c>
      <c r="J66" s="2">
        <v>13.9</v>
      </c>
      <c r="K66" s="2">
        <v>12</v>
      </c>
      <c r="L66" s="2">
        <v>8.8000000000000007</v>
      </c>
      <c r="M66" s="2">
        <v>5.7</v>
      </c>
      <c r="N66" s="2">
        <v>2.9</v>
      </c>
      <c r="O66" s="91">
        <f t="shared" si="1"/>
        <v>8.15</v>
      </c>
    </row>
    <row r="67" spans="2:15" x14ac:dyDescent="0.3">
      <c r="B67" s="90" t="s">
        <v>264</v>
      </c>
      <c r="C67" s="2">
        <v>3.1</v>
      </c>
      <c r="D67" s="2">
        <v>3.2</v>
      </c>
      <c r="E67" s="2">
        <v>4.4000000000000004</v>
      </c>
      <c r="F67" s="2">
        <v>6.6</v>
      </c>
      <c r="G67" s="2">
        <v>8.9</v>
      </c>
      <c r="H67" s="2">
        <v>11.4</v>
      </c>
      <c r="I67" s="2">
        <v>13.2</v>
      </c>
      <c r="J67" s="2">
        <v>13.1</v>
      </c>
      <c r="K67" s="2">
        <v>11.3</v>
      </c>
      <c r="L67" s="2">
        <v>8.1999999999999993</v>
      </c>
      <c r="M67" s="2">
        <v>5.4</v>
      </c>
      <c r="N67" s="2">
        <v>2.7</v>
      </c>
      <c r="O67" s="91">
        <f t="shared" si="1"/>
        <v>7.6250000000000009</v>
      </c>
    </row>
    <row r="68" spans="2:15" x14ac:dyDescent="0.3">
      <c r="B68" s="90" t="s">
        <v>265</v>
      </c>
      <c r="C68" s="2">
        <v>5.2</v>
      </c>
      <c r="D68" s="2">
        <v>5</v>
      </c>
      <c r="E68" s="2">
        <v>5.8</v>
      </c>
      <c r="F68" s="2">
        <v>7.6</v>
      </c>
      <c r="G68" s="2">
        <v>9.6999999999999993</v>
      </c>
      <c r="H68" s="2">
        <v>11.8</v>
      </c>
      <c r="I68" s="2">
        <v>13.4</v>
      </c>
      <c r="J68" s="2">
        <v>13.6</v>
      </c>
      <c r="K68" s="2">
        <v>12.1</v>
      </c>
      <c r="L68" s="2">
        <v>9.6</v>
      </c>
      <c r="M68" s="2">
        <v>7.3</v>
      </c>
      <c r="N68" s="2">
        <v>5.2</v>
      </c>
      <c r="O68" s="91">
        <f t="shared" si="1"/>
        <v>8.8583333333333325</v>
      </c>
    </row>
    <row r="69" spans="2:15" x14ac:dyDescent="0.3">
      <c r="B69" s="90" t="s">
        <v>266</v>
      </c>
      <c r="C69" s="2">
        <v>4.4000000000000004</v>
      </c>
      <c r="D69" s="2">
        <v>4.2</v>
      </c>
      <c r="E69" s="2">
        <v>5</v>
      </c>
      <c r="F69" s="2">
        <v>7</v>
      </c>
      <c r="G69" s="2">
        <v>8.9</v>
      </c>
      <c r="H69" s="2">
        <v>11.2</v>
      </c>
      <c r="I69" s="2">
        <v>13.1</v>
      </c>
      <c r="J69" s="2">
        <v>13.2</v>
      </c>
      <c r="K69" s="2">
        <v>11.7</v>
      </c>
      <c r="L69" s="2">
        <v>9.1</v>
      </c>
      <c r="M69" s="2">
        <v>6.6</v>
      </c>
      <c r="N69" s="2">
        <v>4.3</v>
      </c>
      <c r="O69" s="91">
        <f t="shared" si="1"/>
        <v>8.2249999999999996</v>
      </c>
    </row>
    <row r="70" spans="2:15" x14ac:dyDescent="0.3">
      <c r="B70" s="90" t="s">
        <v>267</v>
      </c>
      <c r="C70" s="2">
        <v>4.5999999999999996</v>
      </c>
      <c r="D70" s="2">
        <v>4.0999999999999996</v>
      </c>
      <c r="E70" s="2">
        <v>4.7</v>
      </c>
      <c r="F70" s="2">
        <v>6.5</v>
      </c>
      <c r="G70" s="2">
        <v>8.3000000000000007</v>
      </c>
      <c r="H70" s="2">
        <v>10.5</v>
      </c>
      <c r="I70" s="2">
        <v>12.4</v>
      </c>
      <c r="J70" s="2">
        <v>12.8</v>
      </c>
      <c r="K70" s="2">
        <v>11.4</v>
      </c>
      <c r="L70" s="2">
        <v>8.8000000000000007</v>
      </c>
      <c r="M70" s="2">
        <v>6.5</v>
      </c>
      <c r="N70" s="2">
        <v>4.5999999999999996</v>
      </c>
      <c r="O70" s="91">
        <f t="shared" si="1"/>
        <v>7.9333333333333336</v>
      </c>
    </row>
    <row r="71" spans="2:15" x14ac:dyDescent="0.3">
      <c r="B71" s="90" t="s">
        <v>268</v>
      </c>
      <c r="C71" s="2">
        <v>4.8</v>
      </c>
      <c r="D71" s="2">
        <v>5.2</v>
      </c>
      <c r="E71" s="2">
        <v>6.4</v>
      </c>
      <c r="F71" s="2">
        <v>8.4</v>
      </c>
      <c r="G71" s="2">
        <v>10.9</v>
      </c>
      <c r="H71" s="2">
        <v>13.5</v>
      </c>
      <c r="I71" s="2">
        <v>15</v>
      </c>
      <c r="J71" s="2">
        <v>14.9</v>
      </c>
      <c r="K71" s="2">
        <v>13.1</v>
      </c>
      <c r="L71" s="2">
        <v>10</v>
      </c>
      <c r="M71" s="2">
        <v>7.2</v>
      </c>
      <c r="N71" s="2">
        <v>4.7</v>
      </c>
      <c r="O71" s="91">
        <f t="shared" si="1"/>
        <v>9.5083333333333329</v>
      </c>
    </row>
    <row r="72" spans="2:15" ht="15" thickBot="1" x14ac:dyDescent="0.35">
      <c r="B72" s="93" t="s">
        <v>269</v>
      </c>
      <c r="C72" s="94">
        <v>744</v>
      </c>
      <c r="D72" s="94">
        <v>672</v>
      </c>
      <c r="E72" s="94">
        <v>744</v>
      </c>
      <c r="F72" s="94">
        <v>720</v>
      </c>
      <c r="G72" s="94">
        <v>0</v>
      </c>
      <c r="H72" s="94">
        <v>0</v>
      </c>
      <c r="I72" s="94">
        <v>0</v>
      </c>
      <c r="J72" s="94">
        <v>0</v>
      </c>
      <c r="K72" s="94">
        <v>0</v>
      </c>
      <c r="L72" s="94">
        <v>744</v>
      </c>
      <c r="M72" s="94">
        <v>720</v>
      </c>
      <c r="N72" s="94">
        <v>744</v>
      </c>
      <c r="O72" s="26"/>
    </row>
    <row r="80" spans="2:15" x14ac:dyDescent="0.3">
      <c r="G80" s="1"/>
    </row>
  </sheetData>
  <sheetProtection selectLockedCells="1"/>
  <phoneticPr fontId="17" type="noConversion"/>
  <hyperlinks>
    <hyperlink ref="M42" r:id="rId1" xr:uid="{953A91E4-6CB0-4DBD-BD10-74EAE050AD24}"/>
  </hyperlinks>
  <pageMargins left="0.7" right="0.7" top="0.75" bottom="0.75" header="0.3" footer="0.3"/>
  <pageSetup paperSize="9" orientation="portrait" r:id="rId2"/>
  <headerFooter>
    <oddFooter>&amp;L&amp;1#&amp;"Calibri"&amp;10&amp;K000000 -------------------------------------------------------- This document is marked as confidential</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5C6A-0E44-49D2-B612-42F899B14BDC}">
  <sheetPr codeName="Sheet4">
    <tabColor rgb="FFFF0000"/>
  </sheetPr>
  <dimension ref="B2:G8"/>
  <sheetViews>
    <sheetView workbookViewId="0"/>
  </sheetViews>
  <sheetFormatPr defaultRowHeight="14.4" x14ac:dyDescent="0.3"/>
  <cols>
    <col min="2" max="2" width="8.109375" customWidth="1"/>
    <col min="3" max="3" width="14" bestFit="1" customWidth="1"/>
    <col min="4" max="4" width="20.5546875" customWidth="1"/>
  </cols>
  <sheetData>
    <row r="2" spans="2:7" ht="15.6" x14ac:dyDescent="0.35">
      <c r="B2" s="278"/>
      <c r="C2" s="278" t="s">
        <v>270</v>
      </c>
      <c r="D2" s="278" t="s">
        <v>271</v>
      </c>
    </row>
    <row r="3" spans="2:7" x14ac:dyDescent="0.3">
      <c r="B3" s="279" t="s">
        <v>272</v>
      </c>
      <c r="C3" s="279" t="s">
        <v>273</v>
      </c>
      <c r="D3" s="279" t="s">
        <v>274</v>
      </c>
    </row>
    <row r="4" spans="2:7" x14ac:dyDescent="0.3">
      <c r="B4" t="s">
        <v>275</v>
      </c>
      <c r="C4" t="s">
        <v>276</v>
      </c>
      <c r="D4">
        <v>0.19338</v>
      </c>
      <c r="G4" t="s">
        <v>156</v>
      </c>
    </row>
    <row r="5" spans="2:7" x14ac:dyDescent="0.3">
      <c r="B5" t="s">
        <v>277</v>
      </c>
      <c r="C5" t="s">
        <v>278</v>
      </c>
      <c r="D5">
        <v>1.0529999999999999E-2</v>
      </c>
      <c r="G5" t="s">
        <v>173</v>
      </c>
    </row>
    <row r="6" spans="2:7" x14ac:dyDescent="0.3">
      <c r="B6" t="s">
        <v>277</v>
      </c>
      <c r="C6" t="s">
        <v>279</v>
      </c>
      <c r="D6">
        <v>0.24677000000000002</v>
      </c>
      <c r="G6" t="s">
        <v>174</v>
      </c>
    </row>
    <row r="7" spans="2:7" x14ac:dyDescent="0.3">
      <c r="B7" t="s">
        <v>277</v>
      </c>
      <c r="C7" t="s">
        <v>280</v>
      </c>
      <c r="D7">
        <v>0.21448999999999999</v>
      </c>
    </row>
    <row r="8" spans="2:7" x14ac:dyDescent="0.3">
      <c r="B8" t="s">
        <v>277</v>
      </c>
      <c r="C8" t="s">
        <v>81</v>
      </c>
      <c r="D8">
        <v>0.18253999999999998</v>
      </c>
    </row>
  </sheetData>
  <sheetProtection algorithmName="SHA-512" hashValue="j1NH8B2W+kIE1XXE2tBE+49U7TDpD2blPPqsyTG0NzalJ58UPbLtgN105in0Sm8+QpOHONJlL448PkNX2YYP1A==" saltValue="7EvLX8RDyBch/fHmRX4a4g==" spinCount="100000" sheet="1" objects="1" scenarios="1"/>
  <pageMargins left="0.7" right="0.7" top="0.75" bottom="0.75" header="0.3" footer="0.3"/>
  <pageSetup paperSize="9" orientation="portrait" r:id="rId1"/>
  <headerFooter>
    <oddFooter>&amp;L&amp;1#&amp;"Calibri"&amp;10&amp;K000000 -------------------------------------------------------- This document is marked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BCA3-91D5-4438-ABAF-0B4E2CC84A08}">
  <sheetPr codeName="Sheet8">
    <tabColor rgb="FFFF0000"/>
  </sheetPr>
  <dimension ref="A1:D9"/>
  <sheetViews>
    <sheetView workbookViewId="0"/>
  </sheetViews>
  <sheetFormatPr defaultRowHeight="14.4" x14ac:dyDescent="0.3"/>
  <cols>
    <col min="1" max="1" width="17.33203125" bestFit="1" customWidth="1"/>
    <col min="2" max="2" width="34.109375" customWidth="1"/>
    <col min="3" max="3" width="52.33203125" customWidth="1"/>
    <col min="4" max="4" width="30.6640625" bestFit="1" customWidth="1"/>
  </cols>
  <sheetData>
    <row r="1" spans="1:4" x14ac:dyDescent="0.3">
      <c r="A1" s="2" t="s">
        <v>281</v>
      </c>
      <c r="B1" s="19" t="s">
        <v>282</v>
      </c>
      <c r="C1" s="19" t="s">
        <v>273</v>
      </c>
      <c r="D1" s="19" t="s">
        <v>283</v>
      </c>
    </row>
    <row r="2" spans="1:4" s="21" customFormat="1" ht="57.6" x14ac:dyDescent="0.3">
      <c r="A2" s="27">
        <v>1</v>
      </c>
      <c r="B2" s="20" t="s">
        <v>284</v>
      </c>
      <c r="C2" s="17" t="s">
        <v>285</v>
      </c>
      <c r="D2" s="20" t="s">
        <v>286</v>
      </c>
    </row>
    <row r="3" spans="1:4" s="21" customFormat="1" ht="30" customHeight="1" x14ac:dyDescent="0.3">
      <c r="A3" s="27">
        <v>2</v>
      </c>
      <c r="B3" s="17" t="s">
        <v>287</v>
      </c>
      <c r="C3" s="17" t="s">
        <v>288</v>
      </c>
      <c r="D3" s="20" t="s">
        <v>286</v>
      </c>
    </row>
    <row r="4" spans="1:4" s="21" customFormat="1" ht="86.4" x14ac:dyDescent="0.3">
      <c r="A4" s="27">
        <v>3</v>
      </c>
      <c r="B4" s="20" t="s">
        <v>289</v>
      </c>
      <c r="C4" s="17" t="s">
        <v>290</v>
      </c>
      <c r="D4" s="20" t="s">
        <v>291</v>
      </c>
    </row>
    <row r="5" spans="1:4" s="21" customFormat="1" ht="86.4" x14ac:dyDescent="0.3">
      <c r="A5" s="27">
        <v>4</v>
      </c>
      <c r="B5" s="20" t="s">
        <v>292</v>
      </c>
      <c r="C5" s="17" t="s">
        <v>293</v>
      </c>
      <c r="D5" s="20" t="s">
        <v>291</v>
      </c>
    </row>
    <row r="6" spans="1:4" x14ac:dyDescent="0.3">
      <c r="A6" s="2">
        <v>5</v>
      </c>
      <c r="B6" s="67" t="s">
        <v>294</v>
      </c>
      <c r="C6" s="18" t="s">
        <v>295</v>
      </c>
      <c r="D6" s="20" t="s">
        <v>296</v>
      </c>
    </row>
    <row r="7" spans="1:4" ht="28.8" x14ac:dyDescent="0.3">
      <c r="A7" s="2">
        <v>6</v>
      </c>
      <c r="B7" s="7" t="s">
        <v>247</v>
      </c>
      <c r="C7" s="18" t="s">
        <v>297</v>
      </c>
      <c r="D7" s="20" t="s">
        <v>286</v>
      </c>
    </row>
    <row r="8" spans="1:4" x14ac:dyDescent="0.3">
      <c r="A8" s="27">
        <v>7</v>
      </c>
      <c r="B8" s="7" t="s">
        <v>298</v>
      </c>
      <c r="C8" s="17" t="s">
        <v>299</v>
      </c>
      <c r="D8" s="20" t="s">
        <v>286</v>
      </c>
    </row>
    <row r="9" spans="1:4" x14ac:dyDescent="0.3">
      <c r="A9" s="68">
        <v>8</v>
      </c>
      <c r="B9" s="67" t="s">
        <v>300</v>
      </c>
    </row>
  </sheetData>
  <sheetProtection selectLockedCells="1" selectUnlockedCells="1"/>
  <pageMargins left="0.7" right="0.7" top="0.75" bottom="0.75" header="0.3" footer="0.3"/>
  <pageSetup paperSize="9" orientation="portrait" r:id="rId1"/>
  <headerFooter>
    <oddFooter>&amp;L&amp;1#&amp;"Calibri"&amp;10&amp;K000000 -------------------------------------------------------- This document is marked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6C6D-F6B8-4C8F-A969-4FE7730B9DC8}">
  <sheetPr codeName="Sheet9">
    <tabColor rgb="FFFF0000"/>
  </sheetPr>
  <dimension ref="A1:AP31"/>
  <sheetViews>
    <sheetView workbookViewId="0"/>
  </sheetViews>
  <sheetFormatPr defaultColWidth="9.109375" defaultRowHeight="15" customHeight="1" x14ac:dyDescent="0.3"/>
  <cols>
    <col min="1" max="2" width="2.44140625" customWidth="1"/>
    <col min="3" max="4" width="24.33203125" customWidth="1"/>
    <col min="5" max="5" width="7.33203125" bestFit="1" customWidth="1"/>
    <col min="6" max="6" width="20.5546875" bestFit="1" customWidth="1"/>
    <col min="7" max="7" width="7.44140625" bestFit="1" customWidth="1"/>
    <col min="8" max="8" width="10.6640625" bestFit="1" customWidth="1"/>
    <col min="9" max="9" width="16.88671875" bestFit="1" customWidth="1"/>
    <col min="10" max="10" width="16.44140625" bestFit="1" customWidth="1"/>
    <col min="11" max="11" width="9.5546875" customWidth="1"/>
    <col min="12" max="12" width="18.44140625" bestFit="1" customWidth="1"/>
    <col min="13" max="13" width="21.5546875" bestFit="1" customWidth="1"/>
    <col min="14" max="14" width="10.5546875" bestFit="1" customWidth="1"/>
    <col min="15" max="15" width="7.5546875" bestFit="1" customWidth="1"/>
    <col min="16" max="16" width="18.88671875" bestFit="1" customWidth="1"/>
    <col min="17" max="17" width="12.109375" bestFit="1" customWidth="1"/>
    <col min="18" max="18" width="12.33203125" bestFit="1" customWidth="1"/>
    <col min="19" max="19" width="7.33203125" bestFit="1" customWidth="1"/>
    <col min="20" max="20" width="8.6640625" bestFit="1" customWidth="1"/>
    <col min="21" max="21" width="16.5546875" customWidth="1"/>
    <col min="22" max="22" width="9.44140625" customWidth="1"/>
    <col min="23" max="23" width="12.44140625" customWidth="1"/>
    <col min="24" max="24" width="12.6640625" customWidth="1"/>
    <col min="25" max="25" width="12.5546875" customWidth="1"/>
    <col min="26" max="26" width="11" customWidth="1"/>
    <col min="27" max="28" width="9.44140625" customWidth="1"/>
    <col min="29" max="29" width="13.6640625" customWidth="1"/>
    <col min="30" max="30" width="11.33203125" customWidth="1"/>
    <col min="31" max="32" width="9.44140625" customWidth="1"/>
    <col min="33" max="33" width="14.109375" bestFit="1" customWidth="1"/>
    <col min="34" max="34" width="13.44140625" bestFit="1" customWidth="1"/>
    <col min="35" max="35" width="13.109375" bestFit="1" customWidth="1"/>
    <col min="36" max="37" width="9.44140625" customWidth="1"/>
    <col min="38" max="38" width="13.6640625" customWidth="1"/>
    <col min="39" max="39" width="9.44140625" customWidth="1"/>
    <col min="40" max="40" width="10.109375" bestFit="1" customWidth="1"/>
    <col min="41" max="41" width="14" bestFit="1" customWidth="1"/>
    <col min="42" max="42" width="12.88671875" customWidth="1"/>
  </cols>
  <sheetData>
    <row r="1" spans="1:42" ht="15.75" customHeight="1" x14ac:dyDescent="0.3">
      <c r="A1" s="34"/>
    </row>
    <row r="2" spans="1:42" ht="15.75" customHeight="1" x14ac:dyDescent="0.3">
      <c r="A2" s="35" t="s">
        <v>301</v>
      </c>
      <c r="B2" s="35"/>
      <c r="C2" s="35"/>
      <c r="D2" s="35"/>
    </row>
    <row r="3" spans="1:42" ht="15.75" customHeight="1" x14ac:dyDescent="0.3">
      <c r="A3" s="35" t="s">
        <v>302</v>
      </c>
      <c r="B3" s="35"/>
      <c r="C3" s="35"/>
      <c r="D3" s="35"/>
    </row>
    <row r="4" spans="1:42" ht="15.75" customHeight="1" x14ac:dyDescent="0.3">
      <c r="A4" s="35" t="s">
        <v>303</v>
      </c>
      <c r="B4" s="35"/>
      <c r="C4" s="35"/>
      <c r="D4" s="35"/>
    </row>
    <row r="5" spans="1:42" ht="15.75" customHeight="1" thickBot="1" x14ac:dyDescent="0.35"/>
    <row r="6" spans="1:42" ht="15.75" customHeight="1" thickTop="1" x14ac:dyDescent="0.3">
      <c r="A6" s="36"/>
      <c r="B6" s="36"/>
      <c r="C6" s="36"/>
      <c r="D6" s="36"/>
      <c r="E6" s="36"/>
      <c r="F6" s="36"/>
      <c r="G6" s="36"/>
      <c r="H6" s="36"/>
      <c r="I6" s="36"/>
      <c r="J6" s="37"/>
    </row>
    <row r="7" spans="1:42" s="13" customFormat="1" ht="31.5" customHeight="1" x14ac:dyDescent="0.3">
      <c r="A7" s="38"/>
      <c r="B7" s="38"/>
      <c r="C7" s="38"/>
      <c r="D7" s="38" t="s">
        <v>304</v>
      </c>
      <c r="E7" s="39" t="s">
        <v>305</v>
      </c>
      <c r="F7" s="39" t="s">
        <v>306</v>
      </c>
      <c r="G7" s="39" t="s">
        <v>307</v>
      </c>
      <c r="H7" s="39" t="s">
        <v>308</v>
      </c>
      <c r="I7" s="63" t="s">
        <v>309</v>
      </c>
      <c r="J7" s="39" t="s">
        <v>310</v>
      </c>
      <c r="K7" s="39" t="s">
        <v>311</v>
      </c>
      <c r="L7" s="39" t="s">
        <v>312</v>
      </c>
      <c r="M7" s="39" t="s">
        <v>313</v>
      </c>
      <c r="N7" s="39" t="s">
        <v>314</v>
      </c>
      <c r="O7" s="39" t="s">
        <v>315</v>
      </c>
      <c r="P7" s="39" t="s">
        <v>316</v>
      </c>
      <c r="Q7" s="39" t="s">
        <v>317</v>
      </c>
      <c r="R7" s="39" t="s">
        <v>318</v>
      </c>
      <c r="S7" s="63" t="s">
        <v>319</v>
      </c>
      <c r="T7" s="39" t="s">
        <v>320</v>
      </c>
      <c r="U7" s="39" t="s">
        <v>321</v>
      </c>
      <c r="V7" s="39" t="s">
        <v>322</v>
      </c>
      <c r="W7" s="39" t="s">
        <v>323</v>
      </c>
      <c r="X7" s="39" t="s">
        <v>324</v>
      </c>
      <c r="Y7" s="39" t="s">
        <v>325</v>
      </c>
      <c r="Z7" s="39" t="s">
        <v>326</v>
      </c>
      <c r="AA7" s="39" t="s">
        <v>327</v>
      </c>
      <c r="AB7" s="39" t="s">
        <v>160</v>
      </c>
      <c r="AC7" s="39" t="s">
        <v>328</v>
      </c>
      <c r="AD7" s="63" t="s">
        <v>329</v>
      </c>
      <c r="AE7" s="63" t="s">
        <v>330</v>
      </c>
      <c r="AF7" s="39" t="s">
        <v>331</v>
      </c>
      <c r="AG7" s="39" t="s">
        <v>332</v>
      </c>
      <c r="AH7" s="39" t="s">
        <v>333</v>
      </c>
      <c r="AI7" s="39" t="s">
        <v>334</v>
      </c>
      <c r="AJ7" s="39" t="s">
        <v>335</v>
      </c>
      <c r="AK7" s="39" t="s">
        <v>336</v>
      </c>
      <c r="AL7" s="39" t="s">
        <v>337</v>
      </c>
      <c r="AM7" s="39" t="s">
        <v>338</v>
      </c>
      <c r="AN7" s="39" t="s">
        <v>339</v>
      </c>
      <c r="AO7" s="39" t="s">
        <v>340</v>
      </c>
      <c r="AP7" s="39" t="s">
        <v>341</v>
      </c>
    </row>
    <row r="8" spans="1:42" ht="15.75" customHeight="1" x14ac:dyDescent="0.3">
      <c r="A8" s="37"/>
      <c r="B8" s="37"/>
      <c r="C8" s="37"/>
      <c r="D8" s="37"/>
      <c r="E8" s="37"/>
      <c r="F8" s="37"/>
      <c r="G8" s="37"/>
      <c r="H8" s="37"/>
      <c r="I8" s="40"/>
      <c r="J8" s="37"/>
      <c r="K8" s="37"/>
      <c r="L8" s="37"/>
      <c r="M8" s="37"/>
      <c r="N8" s="37"/>
      <c r="O8" s="37"/>
      <c r="P8" s="37"/>
      <c r="Q8" s="37"/>
      <c r="R8" s="37"/>
      <c r="S8" s="40"/>
      <c r="T8" s="37"/>
      <c r="U8" s="37"/>
      <c r="V8" s="37"/>
      <c r="W8" s="37"/>
      <c r="X8" s="37"/>
      <c r="Y8" s="37"/>
      <c r="Z8" s="37"/>
      <c r="AA8" s="37"/>
      <c r="AB8" s="37"/>
      <c r="AC8" s="37"/>
      <c r="AD8" s="40"/>
      <c r="AE8" s="40"/>
      <c r="AF8" s="37"/>
      <c r="AG8" s="37"/>
      <c r="AH8" s="37"/>
      <c r="AI8" s="37"/>
      <c r="AJ8" s="37"/>
      <c r="AK8" s="37"/>
      <c r="AL8" s="37"/>
      <c r="AM8" s="37"/>
      <c r="AN8" s="37"/>
      <c r="AO8" s="37"/>
      <c r="AP8" s="37"/>
    </row>
    <row r="9" spans="1:42" ht="15.75" customHeight="1" x14ac:dyDescent="0.3">
      <c r="A9" s="41"/>
      <c r="B9" s="41"/>
      <c r="C9" s="41"/>
      <c r="D9" s="41"/>
      <c r="E9" s="41"/>
      <c r="F9" s="41"/>
      <c r="G9" s="41"/>
      <c r="H9" s="41"/>
      <c r="I9" s="42"/>
      <c r="J9" s="41"/>
      <c r="K9" s="41"/>
      <c r="L9" s="41"/>
      <c r="M9" s="41"/>
      <c r="N9" s="41"/>
      <c r="O9" s="41"/>
      <c r="P9" s="41"/>
      <c r="Q9" s="41"/>
      <c r="R9" s="41"/>
      <c r="S9" s="42"/>
      <c r="T9" s="41"/>
      <c r="U9" s="41"/>
      <c r="V9" s="41"/>
      <c r="W9" s="41"/>
      <c r="X9" s="41"/>
      <c r="Y9" s="41"/>
      <c r="Z9" s="41"/>
      <c r="AA9" s="41"/>
      <c r="AB9" s="41"/>
      <c r="AC9" s="41"/>
      <c r="AD9" s="42"/>
      <c r="AE9" s="42"/>
      <c r="AF9" s="41"/>
      <c r="AG9" s="41"/>
      <c r="AH9" s="41"/>
      <c r="AI9" s="41"/>
      <c r="AJ9" s="41"/>
      <c r="AK9" s="41"/>
      <c r="AL9" s="41"/>
      <c r="AM9" s="41"/>
      <c r="AN9" s="41"/>
      <c r="AO9" s="41"/>
      <c r="AP9" s="41"/>
    </row>
    <row r="10" spans="1:42" ht="15.75" customHeight="1" x14ac:dyDescent="0.3">
      <c r="A10" s="43" t="s">
        <v>342</v>
      </c>
      <c r="B10" s="37"/>
      <c r="C10" s="37"/>
      <c r="D10" s="37"/>
      <c r="E10" s="37"/>
      <c r="F10" s="37"/>
      <c r="G10" s="37"/>
      <c r="H10" s="37"/>
      <c r="I10" s="40"/>
      <c r="J10" s="37"/>
      <c r="K10" s="37"/>
      <c r="L10" s="37"/>
      <c r="M10" s="37"/>
      <c r="N10" s="37"/>
      <c r="O10" s="37"/>
      <c r="P10" s="37"/>
      <c r="Q10" s="37"/>
      <c r="R10" s="37"/>
      <c r="S10" s="40"/>
      <c r="T10" s="37"/>
      <c r="U10" s="37"/>
      <c r="V10" s="37"/>
      <c r="W10" s="37"/>
      <c r="X10" s="37"/>
      <c r="Y10" s="37"/>
      <c r="Z10" s="37"/>
      <c r="AA10" s="37"/>
      <c r="AB10" s="37"/>
      <c r="AC10" s="37"/>
      <c r="AD10" s="40"/>
      <c r="AE10" s="40"/>
      <c r="AF10" s="37"/>
      <c r="AG10" s="37"/>
      <c r="AH10" s="37"/>
      <c r="AI10" s="37"/>
      <c r="AJ10" s="37"/>
      <c r="AK10" s="37"/>
      <c r="AL10" s="37"/>
      <c r="AM10" s="37"/>
      <c r="AN10" s="37"/>
      <c r="AO10" s="37"/>
      <c r="AP10" s="37"/>
    </row>
    <row r="11" spans="1:42" ht="15.75" customHeight="1" x14ac:dyDescent="0.3">
      <c r="A11" s="43"/>
      <c r="B11" s="37"/>
      <c r="C11" s="37"/>
      <c r="D11" s="37"/>
      <c r="E11" s="37"/>
      <c r="F11" s="37"/>
      <c r="G11" s="37"/>
      <c r="H11" s="37"/>
      <c r="I11" s="40"/>
      <c r="J11" s="37"/>
      <c r="K11" s="37"/>
      <c r="L11" s="37"/>
      <c r="M11" s="37"/>
      <c r="N11" s="37"/>
      <c r="O11" s="37"/>
      <c r="P11" s="37"/>
      <c r="Q11" s="37"/>
      <c r="R11" s="37"/>
      <c r="S11" s="40"/>
      <c r="T11" s="37"/>
      <c r="U11" s="37"/>
      <c r="V11" s="37"/>
      <c r="W11" s="37"/>
      <c r="X11" s="37"/>
      <c r="Y11" s="37"/>
      <c r="Z11" s="37"/>
      <c r="AA11" s="37"/>
      <c r="AB11" s="37"/>
      <c r="AC11" s="37"/>
      <c r="AD11" s="40"/>
      <c r="AE11" s="40"/>
      <c r="AF11" s="37"/>
      <c r="AG11" s="37"/>
      <c r="AH11" s="37"/>
      <c r="AI11" s="37"/>
      <c r="AJ11" s="37"/>
      <c r="AK11" s="37"/>
      <c r="AL11" s="37"/>
      <c r="AM11" s="37"/>
      <c r="AN11" s="37"/>
      <c r="AO11" s="37"/>
      <c r="AP11" s="37"/>
    </row>
    <row r="12" spans="1:42" s="9" customFormat="1" ht="15.75" customHeight="1" x14ac:dyDescent="0.3">
      <c r="A12" s="43"/>
      <c r="B12" s="44" t="s">
        <v>343</v>
      </c>
      <c r="C12" s="44"/>
      <c r="E12" s="45">
        <v>210</v>
      </c>
      <c r="F12" s="45">
        <v>128</v>
      </c>
      <c r="G12" s="45">
        <v>7</v>
      </c>
      <c r="H12" s="46">
        <v>97</v>
      </c>
      <c r="I12" s="47">
        <v>193.03516325562137</v>
      </c>
      <c r="J12" s="45">
        <v>84.224377576847715</v>
      </c>
      <c r="K12" s="45">
        <v>101.19815549965641</v>
      </c>
      <c r="L12" s="45">
        <v>730</v>
      </c>
      <c r="M12" s="45">
        <v>2210</v>
      </c>
      <c r="N12" s="45">
        <v>261.56620264156663</v>
      </c>
      <c r="O12" s="45">
        <v>170</v>
      </c>
      <c r="P12" s="45">
        <v>30</v>
      </c>
      <c r="Q12" s="45">
        <v>161.53089375979226</v>
      </c>
      <c r="R12" s="45">
        <v>31.8662925907459</v>
      </c>
      <c r="S12" s="47">
        <v>120.07967860055845</v>
      </c>
      <c r="T12" s="45">
        <v>389</v>
      </c>
      <c r="U12" s="45">
        <v>139.56147300786338</v>
      </c>
      <c r="V12" s="45">
        <v>88.349989108187586</v>
      </c>
      <c r="W12" s="45">
        <v>108.40585717503686</v>
      </c>
      <c r="X12" s="45">
        <v>100</v>
      </c>
      <c r="Y12" s="45">
        <v>330</v>
      </c>
      <c r="Z12" s="45">
        <v>269.45596736097696</v>
      </c>
      <c r="AA12" s="48">
        <v>71</v>
      </c>
      <c r="AB12" s="48">
        <v>94</v>
      </c>
      <c r="AC12" s="45">
        <v>83</v>
      </c>
      <c r="AD12" s="47">
        <v>217.20481469720124</v>
      </c>
      <c r="AE12" s="47">
        <v>209.15821976797878</v>
      </c>
      <c r="AF12" s="45">
        <v>220</v>
      </c>
      <c r="AG12" s="45">
        <v>400</v>
      </c>
      <c r="AH12" s="45">
        <v>53.873073128014248</v>
      </c>
      <c r="AI12" s="45">
        <v>64.957196377770927</v>
      </c>
      <c r="AJ12" s="45">
        <v>22.654664334561879</v>
      </c>
      <c r="AK12" s="45">
        <v>3790</v>
      </c>
      <c r="AL12" s="45">
        <v>3040</v>
      </c>
      <c r="AM12" s="45">
        <v>20</v>
      </c>
      <c r="AN12" s="45">
        <v>167</v>
      </c>
      <c r="AO12" s="45">
        <v>50</v>
      </c>
      <c r="AP12" s="46">
        <v>53</v>
      </c>
    </row>
    <row r="13" spans="1:42" ht="15.75" customHeight="1" x14ac:dyDescent="0.3">
      <c r="A13" s="43"/>
      <c r="B13" s="37"/>
      <c r="C13" s="37"/>
      <c r="D13" s="37"/>
      <c r="E13" s="49"/>
      <c r="F13" s="49"/>
      <c r="G13" s="49"/>
      <c r="H13" s="49"/>
      <c r="I13" s="50"/>
      <c r="J13" s="49"/>
      <c r="K13" s="49"/>
      <c r="L13" s="49"/>
      <c r="M13" s="49"/>
      <c r="N13" s="49"/>
      <c r="O13" s="49"/>
      <c r="P13" s="49"/>
      <c r="Q13" s="49"/>
      <c r="R13" s="49"/>
      <c r="S13" s="50"/>
      <c r="T13" s="49"/>
      <c r="U13" s="49"/>
      <c r="V13" s="49"/>
      <c r="W13" s="49"/>
      <c r="X13" s="49"/>
      <c r="Y13" s="49"/>
      <c r="Z13" s="49"/>
      <c r="AA13" s="51"/>
      <c r="AB13" s="51"/>
      <c r="AC13" s="49"/>
      <c r="AD13" s="50"/>
      <c r="AE13" s="50"/>
      <c r="AF13" s="49"/>
      <c r="AG13" s="49"/>
      <c r="AH13" s="49"/>
      <c r="AI13" s="49"/>
      <c r="AJ13" s="49"/>
      <c r="AK13" s="49"/>
      <c r="AL13" s="49"/>
      <c r="AM13" s="49"/>
      <c r="AN13" s="49"/>
      <c r="AO13" s="49"/>
      <c r="AP13" s="49"/>
    </row>
    <row r="14" spans="1:42" ht="15.75" customHeight="1" x14ac:dyDescent="0.3">
      <c r="A14" s="43"/>
      <c r="B14" s="37"/>
      <c r="D14" s="37" t="s">
        <v>344</v>
      </c>
      <c r="E14" s="49">
        <v>180</v>
      </c>
      <c r="F14" s="49">
        <v>16</v>
      </c>
      <c r="G14" s="49" t="s">
        <v>345</v>
      </c>
      <c r="H14" s="52">
        <v>1</v>
      </c>
      <c r="I14" s="50">
        <v>0.92132331896970143</v>
      </c>
      <c r="J14" s="49">
        <v>0</v>
      </c>
      <c r="K14" s="49">
        <v>0.16406684155993537</v>
      </c>
      <c r="L14" s="49">
        <v>40</v>
      </c>
      <c r="M14" s="49">
        <v>150</v>
      </c>
      <c r="N14" s="49">
        <v>9.1765431923949272</v>
      </c>
      <c r="O14" s="49">
        <v>30</v>
      </c>
      <c r="P14" s="49">
        <v>1</v>
      </c>
      <c r="Q14" s="49">
        <v>10.859123203871613</v>
      </c>
      <c r="R14" s="49">
        <v>0.2773958902341529</v>
      </c>
      <c r="S14" s="50">
        <v>0.60911109018674381</v>
      </c>
      <c r="T14" s="49" t="s">
        <v>345</v>
      </c>
      <c r="U14" s="49">
        <v>7.4439212297831023</v>
      </c>
      <c r="V14" s="49">
        <v>3.9684535940577073</v>
      </c>
      <c r="W14" s="49">
        <v>0</v>
      </c>
      <c r="X14" s="49">
        <v>4</v>
      </c>
      <c r="Y14" s="49">
        <v>10</v>
      </c>
      <c r="Z14" s="49">
        <v>42.173819491223853</v>
      </c>
      <c r="AA14" s="51">
        <v>3</v>
      </c>
      <c r="AB14" s="51">
        <v>1</v>
      </c>
      <c r="AC14" s="49">
        <v>9</v>
      </c>
      <c r="AD14" s="50">
        <v>0</v>
      </c>
      <c r="AE14" s="50">
        <v>2.1987684526939471</v>
      </c>
      <c r="AF14" s="49">
        <v>90</v>
      </c>
      <c r="AG14" s="49">
        <v>340</v>
      </c>
      <c r="AH14" s="49">
        <v>0</v>
      </c>
      <c r="AI14" s="49">
        <v>0.59159957613782743</v>
      </c>
      <c r="AJ14" s="49">
        <v>1.1807262877406066</v>
      </c>
      <c r="AK14" s="49">
        <v>110</v>
      </c>
      <c r="AL14" s="49">
        <v>190</v>
      </c>
      <c r="AM14" s="49">
        <v>0</v>
      </c>
      <c r="AN14" s="49">
        <v>5</v>
      </c>
      <c r="AO14" s="49">
        <v>0</v>
      </c>
      <c r="AP14" s="52">
        <v>0</v>
      </c>
    </row>
    <row r="15" spans="1:42" ht="15.75" customHeight="1" x14ac:dyDescent="0.3">
      <c r="B15" s="37"/>
      <c r="D15" s="37" t="s">
        <v>346</v>
      </c>
      <c r="E15" s="49">
        <v>10</v>
      </c>
      <c r="F15" s="49">
        <v>8</v>
      </c>
      <c r="G15" s="49">
        <v>7</v>
      </c>
      <c r="H15" s="52">
        <v>1</v>
      </c>
      <c r="I15" s="50">
        <v>12.421883077319331</v>
      </c>
      <c r="J15" s="49">
        <v>51.055674969021943</v>
      </c>
      <c r="K15" s="49">
        <v>10.665947345750958</v>
      </c>
      <c r="L15" s="49">
        <v>180</v>
      </c>
      <c r="M15" s="49">
        <v>130</v>
      </c>
      <c r="N15" s="49">
        <v>51.758052353267288</v>
      </c>
      <c r="O15" s="49">
        <v>40</v>
      </c>
      <c r="P15" s="49">
        <v>1</v>
      </c>
      <c r="Q15" s="49">
        <v>1.3003249753216397</v>
      </c>
      <c r="R15" s="49">
        <v>2.1609928649453209</v>
      </c>
      <c r="S15" s="50">
        <v>3.2600732590706314</v>
      </c>
      <c r="T15" s="49">
        <v>17</v>
      </c>
      <c r="U15" s="49">
        <v>29.591869961414975</v>
      </c>
      <c r="V15" s="49">
        <v>5.3469201061442115</v>
      </c>
      <c r="W15" s="49">
        <v>4.1234968030236105</v>
      </c>
      <c r="X15" s="49">
        <v>5</v>
      </c>
      <c r="Y15" s="49">
        <v>40</v>
      </c>
      <c r="Z15" s="49">
        <v>48.315478222508666</v>
      </c>
      <c r="AA15" s="51">
        <v>5</v>
      </c>
      <c r="AB15" s="51">
        <v>8</v>
      </c>
      <c r="AC15" s="49">
        <v>0</v>
      </c>
      <c r="AD15" s="50">
        <v>27.577327174327813</v>
      </c>
      <c r="AE15" s="50">
        <v>28.224520342169619</v>
      </c>
      <c r="AF15" s="49">
        <v>20</v>
      </c>
      <c r="AG15" s="49">
        <v>30</v>
      </c>
      <c r="AH15" s="49">
        <v>0.12453188400360855</v>
      </c>
      <c r="AI15" s="49">
        <v>2.1306671262091772</v>
      </c>
      <c r="AJ15" s="49">
        <v>0.53483069004093919</v>
      </c>
      <c r="AK15" s="49">
        <v>450</v>
      </c>
      <c r="AL15" s="49">
        <v>430</v>
      </c>
      <c r="AM15" s="49">
        <v>1</v>
      </c>
      <c r="AN15" s="49">
        <v>7</v>
      </c>
      <c r="AO15" s="49">
        <v>1</v>
      </c>
      <c r="AP15" s="52">
        <v>1</v>
      </c>
    </row>
    <row r="16" spans="1:42" ht="15.75" customHeight="1" x14ac:dyDescent="0.3">
      <c r="B16" s="37"/>
      <c r="D16" s="40" t="s">
        <v>347</v>
      </c>
      <c r="E16" s="49" t="s">
        <v>345</v>
      </c>
      <c r="F16" s="49"/>
      <c r="G16" s="49"/>
      <c r="H16" s="52" t="s">
        <v>348</v>
      </c>
      <c r="I16" s="50" t="s">
        <v>345</v>
      </c>
      <c r="J16" s="49" t="s">
        <v>345</v>
      </c>
      <c r="K16" s="49">
        <v>0</v>
      </c>
      <c r="L16" s="49"/>
      <c r="M16" s="49"/>
      <c r="N16" s="49">
        <v>1.7806480724154639</v>
      </c>
      <c r="O16" s="49" t="s">
        <v>345</v>
      </c>
      <c r="P16" s="49"/>
      <c r="Q16" s="49" t="s">
        <v>345</v>
      </c>
      <c r="R16" s="49" t="s">
        <v>345</v>
      </c>
      <c r="S16" s="50" t="s">
        <v>345</v>
      </c>
      <c r="T16" s="49"/>
      <c r="U16" s="49">
        <v>0</v>
      </c>
      <c r="V16" s="49">
        <v>0</v>
      </c>
      <c r="W16" s="49">
        <v>0</v>
      </c>
      <c r="X16" s="49"/>
      <c r="Y16" s="49"/>
      <c r="Z16" s="49">
        <v>0</v>
      </c>
      <c r="AA16" s="51">
        <v>1</v>
      </c>
      <c r="AB16" s="51">
        <v>2</v>
      </c>
      <c r="AC16" s="49"/>
      <c r="AD16" s="50" t="s">
        <v>345</v>
      </c>
      <c r="AE16" s="50" t="s">
        <v>345</v>
      </c>
      <c r="AF16" s="49" t="s">
        <v>345</v>
      </c>
      <c r="AG16" s="49" t="s">
        <v>345</v>
      </c>
      <c r="AH16" s="49" t="s">
        <v>345</v>
      </c>
      <c r="AI16" s="49" t="s">
        <v>345</v>
      </c>
      <c r="AJ16" s="49" t="s">
        <v>345</v>
      </c>
      <c r="AK16" s="49"/>
      <c r="AL16" s="49"/>
      <c r="AM16" s="49"/>
      <c r="AN16" s="49"/>
      <c r="AO16" s="49"/>
      <c r="AP16" s="52" t="s">
        <v>348</v>
      </c>
    </row>
    <row r="17" spans="1:42" ht="15.75" customHeight="1" x14ac:dyDescent="0.3">
      <c r="B17" s="37"/>
      <c r="D17" s="40" t="s">
        <v>349</v>
      </c>
      <c r="E17" s="49"/>
      <c r="F17" s="49"/>
      <c r="G17" s="49"/>
      <c r="H17" s="52" t="s">
        <v>348</v>
      </c>
      <c r="I17" s="50" t="s">
        <v>345</v>
      </c>
      <c r="J17" s="49"/>
      <c r="K17" s="49">
        <v>0</v>
      </c>
      <c r="L17" s="49"/>
      <c r="M17" s="49"/>
      <c r="N17" s="49">
        <v>50.196085841302981</v>
      </c>
      <c r="O17" s="49"/>
      <c r="P17" s="49"/>
      <c r="Q17" s="49"/>
      <c r="R17" s="49"/>
      <c r="S17" s="50"/>
      <c r="T17" s="49"/>
      <c r="U17" s="49">
        <v>0</v>
      </c>
      <c r="V17" s="49"/>
      <c r="W17" s="49">
        <v>0</v>
      </c>
      <c r="X17" s="49"/>
      <c r="Y17" s="49"/>
      <c r="Z17" s="49">
        <v>0</v>
      </c>
      <c r="AA17" s="51"/>
      <c r="AB17" s="51"/>
      <c r="AC17" s="49"/>
      <c r="AD17" s="50" t="s">
        <v>345</v>
      </c>
      <c r="AE17" s="50" t="s">
        <v>345</v>
      </c>
      <c r="AF17" s="49"/>
      <c r="AG17" s="49"/>
      <c r="AH17" s="49"/>
      <c r="AI17" s="49"/>
      <c r="AJ17" s="49"/>
      <c r="AK17" s="49"/>
      <c r="AL17" s="49"/>
      <c r="AM17" s="49"/>
      <c r="AN17" s="49"/>
      <c r="AO17" s="49"/>
      <c r="AP17" s="52" t="s">
        <v>348</v>
      </c>
    </row>
    <row r="18" spans="1:42" ht="15" customHeight="1" x14ac:dyDescent="0.3">
      <c r="B18" s="37"/>
      <c r="D18" s="37" t="s">
        <v>350</v>
      </c>
      <c r="E18" s="49"/>
      <c r="F18" s="49" t="s">
        <v>345</v>
      </c>
      <c r="G18" s="49"/>
      <c r="H18" s="52"/>
      <c r="I18" s="50"/>
      <c r="J18" s="49"/>
      <c r="K18" s="49"/>
      <c r="L18" s="49"/>
      <c r="M18" s="49"/>
      <c r="N18" s="49"/>
      <c r="O18" s="49"/>
      <c r="P18" s="49"/>
      <c r="Q18" s="49"/>
      <c r="R18" s="49"/>
      <c r="S18" s="50"/>
      <c r="T18" s="49" t="s">
        <v>345</v>
      </c>
      <c r="U18" s="49"/>
      <c r="V18" s="49"/>
      <c r="W18" s="49"/>
      <c r="X18" s="49">
        <v>3</v>
      </c>
      <c r="Y18" s="49"/>
      <c r="Z18" s="49"/>
      <c r="AA18" s="51"/>
      <c r="AB18" s="51"/>
      <c r="AC18" s="49" t="s">
        <v>345</v>
      </c>
      <c r="AD18" s="50"/>
      <c r="AE18" s="50"/>
      <c r="AF18" s="49"/>
      <c r="AG18" s="49"/>
      <c r="AH18" s="49"/>
      <c r="AI18" s="49"/>
      <c r="AJ18" s="49"/>
      <c r="AK18" s="49"/>
      <c r="AL18" s="49"/>
      <c r="AM18" s="49"/>
      <c r="AN18" s="49" t="s">
        <v>345</v>
      </c>
      <c r="AO18" s="49"/>
      <c r="AP18" s="52"/>
    </row>
    <row r="19" spans="1:42" ht="15" customHeight="1" x14ac:dyDescent="0.3">
      <c r="A19" s="37"/>
      <c r="B19" s="37"/>
      <c r="D19" s="37" t="s">
        <v>351</v>
      </c>
      <c r="E19" s="49" t="s">
        <v>345</v>
      </c>
      <c r="F19" s="49" t="s">
        <v>345</v>
      </c>
      <c r="G19" s="49" t="s">
        <v>345</v>
      </c>
      <c r="H19" s="52" t="s">
        <v>348</v>
      </c>
      <c r="I19" s="50" t="s">
        <v>345</v>
      </c>
      <c r="J19" s="49" t="s">
        <v>345</v>
      </c>
      <c r="K19" s="49">
        <v>0</v>
      </c>
      <c r="L19" s="49">
        <v>0</v>
      </c>
      <c r="M19" s="49">
        <v>50</v>
      </c>
      <c r="N19" s="49">
        <v>0.2502054164062234</v>
      </c>
      <c r="O19" s="49">
        <v>10</v>
      </c>
      <c r="P19" s="49" t="s">
        <v>345</v>
      </c>
      <c r="Q19" s="49" t="s">
        <v>345</v>
      </c>
      <c r="R19" s="49" t="s">
        <v>345</v>
      </c>
      <c r="S19" s="50" t="s">
        <v>345</v>
      </c>
      <c r="T19" s="49">
        <v>235</v>
      </c>
      <c r="U19" s="49">
        <v>0</v>
      </c>
      <c r="V19" s="49">
        <v>0</v>
      </c>
      <c r="W19" s="49">
        <v>0</v>
      </c>
      <c r="X19" s="49" t="s">
        <v>345</v>
      </c>
      <c r="Y19" s="49">
        <v>0</v>
      </c>
      <c r="Z19" s="49">
        <v>0</v>
      </c>
      <c r="AA19" s="51">
        <v>2</v>
      </c>
      <c r="AB19" s="51" t="s">
        <v>345</v>
      </c>
      <c r="AC19" s="49" t="s">
        <v>345</v>
      </c>
      <c r="AD19" s="50" t="s">
        <v>345</v>
      </c>
      <c r="AE19" s="50" t="s">
        <v>345</v>
      </c>
      <c r="AF19" s="49" t="s">
        <v>345</v>
      </c>
      <c r="AG19" s="49" t="s">
        <v>345</v>
      </c>
      <c r="AH19" s="49" t="s">
        <v>345</v>
      </c>
      <c r="AI19" s="49" t="s">
        <v>345</v>
      </c>
      <c r="AJ19" s="49" t="s">
        <v>345</v>
      </c>
      <c r="AK19" s="49">
        <v>40</v>
      </c>
      <c r="AL19" s="49">
        <v>40</v>
      </c>
      <c r="AM19" s="49" t="s">
        <v>345</v>
      </c>
      <c r="AN19" s="49" t="s">
        <v>345</v>
      </c>
      <c r="AO19" s="49" t="s">
        <v>345</v>
      </c>
      <c r="AP19" s="52" t="s">
        <v>348</v>
      </c>
    </row>
    <row r="20" spans="1:42" ht="15.75" customHeight="1" x14ac:dyDescent="0.3">
      <c r="A20" s="43"/>
      <c r="B20" s="37"/>
      <c r="D20" s="37" t="s">
        <v>352</v>
      </c>
      <c r="E20" s="49">
        <v>20</v>
      </c>
      <c r="F20" s="49">
        <v>105</v>
      </c>
      <c r="G20" s="49">
        <v>0</v>
      </c>
      <c r="H20" s="52">
        <v>95</v>
      </c>
      <c r="I20" s="50">
        <v>179.69195685933232</v>
      </c>
      <c r="J20" s="49">
        <v>33.168702607825772</v>
      </c>
      <c r="K20" s="49">
        <v>90.368141312345514</v>
      </c>
      <c r="L20" s="49">
        <v>510</v>
      </c>
      <c r="M20" s="49">
        <v>1880</v>
      </c>
      <c r="N20" s="49">
        <v>148.40466776577972</v>
      </c>
      <c r="O20" s="49">
        <v>90</v>
      </c>
      <c r="P20" s="49">
        <v>30</v>
      </c>
      <c r="Q20" s="49">
        <v>149.37144558059902</v>
      </c>
      <c r="R20" s="49">
        <v>29.427903835566426</v>
      </c>
      <c r="S20" s="50">
        <v>116.21049425130106</v>
      </c>
      <c r="T20" s="49">
        <v>137</v>
      </c>
      <c r="U20" s="49">
        <v>102.52568181666528</v>
      </c>
      <c r="V20" s="49">
        <v>79.034615407985669</v>
      </c>
      <c r="W20" s="49">
        <v>104.28236037201324</v>
      </c>
      <c r="X20" s="49">
        <v>87</v>
      </c>
      <c r="Y20" s="49">
        <v>280</v>
      </c>
      <c r="Z20" s="49">
        <v>178.96666964724443</v>
      </c>
      <c r="AA20" s="51">
        <v>60</v>
      </c>
      <c r="AB20" s="51">
        <v>83</v>
      </c>
      <c r="AC20" s="49">
        <v>74</v>
      </c>
      <c r="AD20" s="50">
        <v>189.62748752287342</v>
      </c>
      <c r="AE20" s="50">
        <v>178.73493097311521</v>
      </c>
      <c r="AF20" s="49">
        <v>120</v>
      </c>
      <c r="AG20" s="49">
        <v>30</v>
      </c>
      <c r="AH20" s="49">
        <v>53.748541244010639</v>
      </c>
      <c r="AI20" s="49">
        <v>62.234929675423928</v>
      </c>
      <c r="AJ20" s="49">
        <v>20.939107356780333</v>
      </c>
      <c r="AK20" s="49">
        <v>3190</v>
      </c>
      <c r="AL20" s="49">
        <v>2390</v>
      </c>
      <c r="AM20" s="49">
        <v>20</v>
      </c>
      <c r="AN20" s="49">
        <v>155</v>
      </c>
      <c r="AO20" s="49">
        <v>40</v>
      </c>
      <c r="AP20" s="52">
        <v>52</v>
      </c>
    </row>
    <row r="21" spans="1:42" s="55" customFormat="1" ht="15" customHeight="1" x14ac:dyDescent="0.3">
      <c r="A21" s="53"/>
      <c r="B21" s="53"/>
      <c r="C21" s="53"/>
      <c r="D21" s="53"/>
      <c r="E21" s="54"/>
      <c r="F21" s="54"/>
      <c r="G21" s="49"/>
      <c r="H21" s="52"/>
      <c r="I21" s="50"/>
      <c r="J21" s="49"/>
      <c r="K21" s="49"/>
      <c r="L21"/>
      <c r="M21"/>
      <c r="N21" s="49"/>
      <c r="O21" s="54"/>
      <c r="P21" s="49"/>
      <c r="Q21" s="49"/>
      <c r="R21" s="49"/>
      <c r="S21" s="50"/>
      <c r="T21" s="54"/>
      <c r="U21" s="49"/>
      <c r="V21" s="49"/>
      <c r="W21" s="49"/>
      <c r="X21" s="54"/>
      <c r="Y21"/>
      <c r="Z21" s="49"/>
      <c r="AA21" s="51"/>
      <c r="AB21" s="51"/>
      <c r="AC21" s="54"/>
      <c r="AD21" s="50"/>
      <c r="AE21" s="50"/>
      <c r="AF21" s="54"/>
      <c r="AG21" s="54"/>
      <c r="AH21" s="49"/>
      <c r="AI21" s="49"/>
      <c r="AJ21" s="49"/>
      <c r="AK21"/>
      <c r="AL21"/>
      <c r="AM21" s="49"/>
      <c r="AN21" s="54"/>
      <c r="AO21" s="49"/>
      <c r="AP21" s="52"/>
    </row>
    <row r="22" spans="1:42" s="55" customFormat="1" ht="15" customHeight="1" x14ac:dyDescent="0.3">
      <c r="A22" s="53"/>
      <c r="B22" s="53" t="s">
        <v>353</v>
      </c>
      <c r="C22" s="53"/>
      <c r="D22" s="53"/>
      <c r="E22" s="54">
        <v>48</v>
      </c>
      <c r="F22" s="54">
        <v>96</v>
      </c>
      <c r="G22" s="54">
        <v>21</v>
      </c>
      <c r="H22" s="56">
        <v>92</v>
      </c>
      <c r="I22" s="57">
        <v>53</v>
      </c>
      <c r="J22" s="54">
        <v>57</v>
      </c>
      <c r="K22" s="54">
        <v>52</v>
      </c>
      <c r="L22" s="54">
        <v>25</v>
      </c>
      <c r="M22" s="54">
        <v>24</v>
      </c>
      <c r="N22" s="54">
        <v>41</v>
      </c>
      <c r="O22" s="54">
        <v>44</v>
      </c>
      <c r="P22" s="54">
        <v>43</v>
      </c>
      <c r="Q22" s="54">
        <v>63</v>
      </c>
      <c r="R22" s="54">
        <v>74</v>
      </c>
      <c r="S22" s="57">
        <v>43</v>
      </c>
      <c r="T22" s="54">
        <v>77</v>
      </c>
      <c r="U22" s="54">
        <v>24</v>
      </c>
      <c r="V22" s="54">
        <v>24</v>
      </c>
      <c r="W22" s="54">
        <v>16</v>
      </c>
      <c r="X22" s="54">
        <v>41</v>
      </c>
      <c r="Y22" s="54">
        <v>35</v>
      </c>
      <c r="Z22" s="54">
        <v>16</v>
      </c>
      <c r="AA22" s="58">
        <v>520</v>
      </c>
      <c r="AB22" s="58">
        <v>117</v>
      </c>
      <c r="AC22" s="54">
        <v>91</v>
      </c>
      <c r="AD22" s="57">
        <v>19</v>
      </c>
      <c r="AE22" s="57">
        <v>14</v>
      </c>
      <c r="AF22" s="54">
        <v>93</v>
      </c>
      <c r="AG22" s="54">
        <v>87</v>
      </c>
      <c r="AH22" s="54">
        <v>49</v>
      </c>
      <c r="AI22" s="54">
        <v>89</v>
      </c>
      <c r="AJ22" s="54">
        <v>701</v>
      </c>
      <c r="AK22" s="54">
        <v>41</v>
      </c>
      <c r="AL22" s="54">
        <v>42</v>
      </c>
      <c r="AM22" s="54">
        <v>109</v>
      </c>
      <c r="AN22" s="54">
        <v>46</v>
      </c>
      <c r="AO22" s="54">
        <v>225</v>
      </c>
      <c r="AP22" s="56">
        <v>369</v>
      </c>
    </row>
    <row r="23" spans="1:42" ht="15" customHeight="1" thickBot="1" x14ac:dyDescent="0.3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row>
    <row r="24" spans="1:42" ht="15" customHeight="1" thickTop="1" x14ac:dyDescent="0.3">
      <c r="A24" s="37"/>
      <c r="B24" s="37"/>
      <c r="C24" s="37"/>
      <c r="D24" s="37"/>
      <c r="E24" s="37"/>
      <c r="F24" s="37"/>
      <c r="G24" s="60"/>
      <c r="H24" s="60"/>
      <c r="J24" s="37"/>
    </row>
    <row r="25" spans="1:42" ht="15" customHeight="1" x14ac:dyDescent="0.3">
      <c r="A25" s="37"/>
      <c r="B25" s="37"/>
      <c r="C25" s="62"/>
      <c r="D25" s="37"/>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42" ht="15" customHeight="1" x14ac:dyDescent="0.3">
      <c r="C26" s="62"/>
      <c r="D26" s="37"/>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1:42" ht="15" customHeight="1" x14ac:dyDescent="0.3">
      <c r="C27" s="62"/>
      <c r="D27" s="40"/>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42" ht="15" customHeight="1" x14ac:dyDescent="0.3">
      <c r="C28" s="62"/>
      <c r="D28" s="4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row>
    <row r="29" spans="1:42" ht="15" customHeight="1" x14ac:dyDescent="0.3">
      <c r="C29" s="62"/>
      <c r="D29" s="37"/>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row>
    <row r="30" spans="1:42" ht="15" customHeight="1" x14ac:dyDescent="0.3">
      <c r="C30" s="62"/>
      <c r="D30" s="37"/>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row>
    <row r="31" spans="1:42" ht="15" customHeight="1" x14ac:dyDescent="0.3">
      <c r="C31" s="62"/>
      <c r="D31" s="37"/>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row>
  </sheetData>
  <pageMargins left="0.7" right="0.7" top="0.75" bottom="0.75" header="0.3" footer="0.3"/>
  <pageSetup paperSize="9" orientation="portrait" horizontalDpi="300" verticalDpi="300" r:id="rId1"/>
  <headerFooter>
    <oddFooter>&amp;L&amp;1#&amp;"Calibri"&amp;10&amp;K000000 -------------------------------------------------------- This document is marked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25E9EA1136FD44B69C6BFC676E9F5A" ma:contentTypeVersion="6" ma:contentTypeDescription="Create a new document." ma:contentTypeScope="" ma:versionID="e09dfe9eaf7f14039fb3de13aa508c98">
  <xsd:schema xmlns:xsd="http://www.w3.org/2001/XMLSchema" xmlns:xs="http://www.w3.org/2001/XMLSchema" xmlns:p="http://schemas.microsoft.com/office/2006/metadata/properties" xmlns:ns2="9eb2767d-559a-4507-953e-e01f09680538" xmlns:ns3="30e4d81a-a3bc-4a5d-a5e2-6bdf45a81f26" targetNamespace="http://schemas.microsoft.com/office/2006/metadata/properties" ma:root="true" ma:fieldsID="dfde8dff0adaa344db4c8c7e36ddce92" ns2:_="" ns3:_="">
    <xsd:import namespace="9eb2767d-559a-4507-953e-e01f09680538"/>
    <xsd:import namespace="30e4d81a-a3bc-4a5d-a5e2-6bdf45a81f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2767d-559a-4507-953e-e01f09680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e4d81a-a3bc-4a5d-a5e2-6bdf45a81f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AB755-94C8-41F1-9685-E55F6E047FC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4335D17-88A3-47F3-A03E-6CEB7C81875B}">
  <ds:schemaRefs>
    <ds:schemaRef ds:uri="http://schemas.microsoft.com/sharepoint/v3/contenttype/forms"/>
  </ds:schemaRefs>
</ds:datastoreItem>
</file>

<file path=customXml/itemProps3.xml><?xml version="1.0" encoding="utf-8"?>
<ds:datastoreItem xmlns:ds="http://schemas.openxmlformats.org/officeDocument/2006/customXml" ds:itemID="{D773B456-AB72-4B37-970A-5FDE0DA61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2767d-559a-4507-953e-e01f09680538"/>
    <ds:schemaRef ds:uri="30e4d81a-a3bc-4a5d-a5e2-6bdf45a81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User Notes - Read Me</vt:lpstr>
      <vt:lpstr>Building Breakdown</vt:lpstr>
      <vt:lpstr>Fabric Changes</vt:lpstr>
      <vt:lpstr>User Data Sources Assumptions</vt:lpstr>
      <vt:lpstr>Version Control</vt:lpstr>
      <vt:lpstr>ConsYr_AR</vt:lpstr>
      <vt:lpstr>EmitEff_AR</vt:lpstr>
      <vt:lpstr>Floor_losses</vt:lpstr>
      <vt:lpstr>Infiltration_ventilation_losses</vt:lpstr>
      <vt:lpstr>RoofStyle_AR</vt:lpstr>
      <vt:lpstr>WalltoFloor_AR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Tim</dc:creator>
  <cp:keywords/>
  <dc:description/>
  <cp:lastModifiedBy>David Tomlinson</cp:lastModifiedBy>
  <cp:revision/>
  <dcterms:created xsi:type="dcterms:W3CDTF">2019-01-08T15:45:55Z</dcterms:created>
  <dcterms:modified xsi:type="dcterms:W3CDTF">2023-02-21T12:10:43Z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iskLevel">
    <vt:lpwstr/>
  </property>
  <property fmtid="{D5CDD505-2E9C-101B-9397-08002B2CF9AE}" pid="3" name="DocRiskLevelWizardText">
    <vt:lpwstr>Atkins Baseline</vt:lpwstr>
  </property>
  <property fmtid="{D5CDD505-2E9C-101B-9397-08002B2CF9AE}" pid="4" name="DocRiskLevelWizardMarker">
    <vt:lpwstr/>
  </property>
  <property fmtid="{D5CDD505-2E9C-101B-9397-08002B2CF9AE}" pid="5" name="ContentTypeId">
    <vt:lpwstr>0x010100C925E9EA1136FD44B69C6BFC676E9F5A</vt:lpwstr>
  </property>
  <property fmtid="{D5CDD505-2E9C-101B-9397-08002B2CF9AE}" pid="6" name="MSIP_Label_dbb19938-abdf-4bf9-b36f-6fa56c0e1ffb_Enabled">
    <vt:lpwstr>True</vt:lpwstr>
  </property>
  <property fmtid="{D5CDD505-2E9C-101B-9397-08002B2CF9AE}" pid="7" name="MSIP_Label_dbb19938-abdf-4bf9-b36f-6fa56c0e1ffb_SiteId">
    <vt:lpwstr>532a5fd0-268c-48ff-b181-14740d5d430b</vt:lpwstr>
  </property>
  <property fmtid="{D5CDD505-2E9C-101B-9397-08002B2CF9AE}" pid="8" name="MSIP_Label_dbb19938-abdf-4bf9-b36f-6fa56c0e1ffb_Owner">
    <vt:lpwstr>Lewis.Bowick@es.catapult.org.uk</vt:lpwstr>
  </property>
  <property fmtid="{D5CDD505-2E9C-101B-9397-08002B2CF9AE}" pid="9" name="MSIP_Label_dbb19938-abdf-4bf9-b36f-6fa56c0e1ffb_SetDate">
    <vt:lpwstr>2020-07-14T17:16:58.8059055Z</vt:lpwstr>
  </property>
  <property fmtid="{D5CDD505-2E9C-101B-9397-08002B2CF9AE}" pid="10" name="MSIP_Label_dbb19938-abdf-4bf9-b36f-6fa56c0e1ffb_Name">
    <vt:lpwstr>Confidential</vt:lpwstr>
  </property>
  <property fmtid="{D5CDD505-2E9C-101B-9397-08002B2CF9AE}" pid="11" name="MSIP_Label_dbb19938-abdf-4bf9-b36f-6fa56c0e1ffb_Application">
    <vt:lpwstr>Microsoft Azure Information Protection</vt:lpwstr>
  </property>
  <property fmtid="{D5CDD505-2E9C-101B-9397-08002B2CF9AE}" pid="12" name="MSIP_Label_dbb19938-abdf-4bf9-b36f-6fa56c0e1ffb_ActionId">
    <vt:lpwstr>0c518484-8ecd-47b8-b448-ea861398f946</vt:lpwstr>
  </property>
  <property fmtid="{D5CDD505-2E9C-101B-9397-08002B2CF9AE}" pid="13" name="MSIP_Label_dbb19938-abdf-4bf9-b36f-6fa56c0e1ffb_Extended_MSFT_Method">
    <vt:lpwstr>Automatic</vt:lpwstr>
  </property>
  <property fmtid="{D5CDD505-2E9C-101B-9397-08002B2CF9AE}" pid="14" name="Sensitivity">
    <vt:lpwstr>Confidential</vt:lpwstr>
  </property>
</Properties>
</file>