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dtent\AppData\Local\Huddle\Huddle\Files\d0119542-3ffd-4172-8409-23dacebadfb4\"/>
    </mc:Choice>
  </mc:AlternateContent>
  <xr:revisionPtr revIDLastSave="0" documentId="13_ncr:1_{A5C2A0FB-973C-477A-BC33-0F7FF4518436}" xr6:coauthVersionLast="47" xr6:coauthVersionMax="47" xr10:uidLastSave="{00000000-0000-0000-0000-000000000000}"/>
  <workbookProtection workbookAlgorithmName="SHA-512" workbookHashValue="eOG5D3pogJBOgwAjowINIv2GQ3lESvSwtCqeOlMBxsEp/GoasVu3j8Bgodx7Yqf7ptm0hfpmuOyCBO4/Ss8ROA==" workbookSaltValue="9YpBb+dLmWKrwbQnu87SBw==" workbookSpinCount="100000" lockStructure="1"/>
  <bookViews>
    <workbookView xWindow="28680" yWindow="-120" windowWidth="29040" windowHeight="15720" tabRatio="734" xr2:uid="{9C8C4046-CC51-452A-842A-5A14FE5B686F}"/>
  </bookViews>
  <sheets>
    <sheet name="Cover" sheetId="14" r:id="rId1"/>
    <sheet name="User Notes - Read Me" sheetId="7" r:id="rId2"/>
    <sheet name="LED Lighting Estimator" sheetId="4" r:id="rId3"/>
    <sheet name="Saving Hours" sheetId="13" r:id="rId4"/>
    <sheet name="User Data Sources Assumptions" sheetId="12" r:id="rId5"/>
    <sheet name="Version Control" sheetId="9" r:id="rId6"/>
    <sheet name="LED Costs" sheetId="5" state="veryHidden" r:id="rId7"/>
    <sheet name="Emission factors" sheetId="15" state="veryHidden" r:id="rId8"/>
    <sheet name="Lighting Power Density" sheetId="1" state="veryHidden" r:id="rId9"/>
    <sheet name="Other Costs" sheetId="8" state="veryHidden" r:id="rId10"/>
    <sheet name="BEES Data" sheetId="10" state="veryHidden" r:id="rId11"/>
    <sheet name="Control Benefit" sheetId="11" state="veryHidden" r:id="rId12"/>
    <sheet name="LED Power Calculations" sheetId="3" state="veryHidden" r:id="rId13"/>
    <sheet name="Lists" sheetId="6" state="veryHidden" r:id="rId14"/>
  </sheets>
  <externalReferences>
    <externalReference r:id="rId15"/>
    <externalReference r:id="rId16"/>
    <externalReference r:id="rId17"/>
  </externalReferences>
  <definedNames>
    <definedName name="_xlnm._FilterDatabase" localSheetId="2" hidden="1">'LED Lighting Estimator'!$B$18:$AG$115</definedName>
    <definedName name="AreaUseCategory">Lists!$A$2:$A$4</definedName>
    <definedName name="BeesLightingCategory">Lists!$H$2:$H$5</definedName>
    <definedName name="BeesUseCategory">Lists!$G$2:$G$39</definedName>
    <definedName name="BuildingCategory">[1]Lists!$A$2:$A$20</definedName>
    <definedName name="BuildingZones">[1]Lists!$C$2:$C$6</definedName>
    <definedName name="Choice">Lists!$F$2:$F$4</definedName>
    <definedName name="Days">Lists!$E$2:$E$9</definedName>
    <definedName name="Density">Lists!$C$2:$C$6</definedName>
    <definedName name="ElecNetworkOptions">'[2]Electricity Network'!$L$4:$L$35</definedName>
    <definedName name="FabricOptions">[2]Lists!$K$2:$K$16</definedName>
    <definedName name="HeatingSystem">[3]Lists!$B$2:$B$12</definedName>
    <definedName name="HeatSystemAll">[2]Lists!$B$2:$B$21</definedName>
    <definedName name="HeatSystemNow">[2]Lists!$B$37:$B$50</definedName>
    <definedName name="High_Security">Lists!$L$2:$L$6</definedName>
    <definedName name="LampType">Lists!$B$2:$B$6</definedName>
    <definedName name="Low_Density">Lists!$J$2:$J$10</definedName>
    <definedName name="PipeDiameter">[2]Lists!$N$2:$N$7</definedName>
    <definedName name="SiteType">Lists!$I$2:$I$5</definedName>
    <definedName name="Standard">Lists!$K$2:$K$7</definedName>
    <definedName name="StateOfExistingBMS">[1]Lists!$B$2:$B$6</definedName>
    <definedName name="Technologies">[2]Lists!$L$2:$L$68</definedName>
    <definedName name="Useage">Lists!$D$2:$D$8</definedName>
    <definedName name="UseCategories">[3]Lists!$A$2:$A$36</definedName>
    <definedName name="UseCategory">[2]Lists!$A$2:$A$43</definedName>
    <definedName name="UseSubCategory">'LED Costs'!$B$4:$B$12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1" l="1"/>
  <c r="E29" i="11"/>
  <c r="E28" i="11"/>
  <c r="E27" i="11"/>
  <c r="E25" i="11"/>
  <c r="E24" i="11"/>
  <c r="E23" i="11"/>
  <c r="E22" i="11"/>
  <c r="E21" i="11"/>
  <c r="E19" i="11"/>
  <c r="E18" i="11"/>
  <c r="E17" i="11"/>
  <c r="E16" i="11"/>
  <c r="E15" i="11"/>
  <c r="E14" i="11"/>
  <c r="E13" i="11"/>
  <c r="E12" i="11"/>
  <c r="J15" i="11"/>
  <c r="E17" i="8"/>
  <c r="E16" i="8"/>
  <c r="E15" i="8"/>
  <c r="E14" i="8"/>
  <c r="E13" i="8"/>
  <c r="E12" i="8"/>
  <c r="E11" i="8"/>
  <c r="E10" i="8"/>
  <c r="E9" i="8"/>
  <c r="E8" i="8"/>
  <c r="E7" i="8"/>
  <c r="E6" i="8"/>
  <c r="E5" i="8"/>
  <c r="E4" i="8"/>
  <c r="E3" i="8"/>
  <c r="E2" i="8"/>
  <c r="F2" i="8"/>
  <c r="J5" i="8"/>
  <c r="C22" i="5"/>
  <c r="C21" i="5"/>
  <c r="C20" i="5"/>
  <c r="C19" i="5"/>
  <c r="C17" i="5"/>
  <c r="C16" i="5"/>
  <c r="C15" i="5"/>
  <c r="C14" i="5"/>
  <c r="C13" i="5"/>
  <c r="C11" i="5"/>
  <c r="C10" i="5"/>
  <c r="C9" i="5"/>
  <c r="C8" i="5"/>
  <c r="C7" i="5"/>
  <c r="C6" i="5"/>
  <c r="C5" i="5"/>
  <c r="C4" i="5"/>
  <c r="H7" i="5"/>
  <c r="Y21" i="4" l="1"/>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L19" i="4"/>
  <c r="Q19" i="4" l="1"/>
  <c r="M19" i="4"/>
  <c r="O19" i="4" s="1"/>
  <c r="N19" i="4"/>
  <c r="R19" i="4" l="1"/>
  <c r="Y19" i="4"/>
  <c r="W19" i="4"/>
  <c r="T19" i="4"/>
  <c r="I11" i="4"/>
  <c r="AC19" i="4"/>
  <c r="AD19" i="4" s="1"/>
  <c r="AE19" i="4" s="1"/>
  <c r="AF19" i="4" l="1"/>
  <c r="C7" i="13"/>
  <c r="C9" i="13"/>
  <c r="P19" i="4"/>
  <c r="V19" i="4" s="1"/>
  <c r="AG19" i="4" l="1"/>
  <c r="M21" i="4"/>
  <c r="O21" i="4" s="1"/>
  <c r="M23" i="4"/>
  <c r="O23" i="4" s="1"/>
  <c r="AC28" i="4" l="1"/>
  <c r="AD28" i="4" s="1"/>
  <c r="AC27" i="4"/>
  <c r="AD27" i="4" s="1"/>
  <c r="AC26" i="4"/>
  <c r="AD26" i="4" s="1"/>
  <c r="AE26" i="4" s="1"/>
  <c r="AC25" i="4"/>
  <c r="AD25" i="4" s="1"/>
  <c r="AC24" i="4"/>
  <c r="AD24" i="4" s="1"/>
  <c r="AC23" i="4"/>
  <c r="AD23" i="4" s="1"/>
  <c r="AC22" i="4"/>
  <c r="AD22" i="4" s="1"/>
  <c r="AF22" i="4" s="1"/>
  <c r="AC21" i="4"/>
  <c r="AD21" i="4" s="1"/>
  <c r="AC20" i="4"/>
  <c r="AD20" i="4" l="1"/>
  <c r="AE20" i="4" s="1"/>
  <c r="AF23" i="4"/>
  <c r="AE23" i="4"/>
  <c r="AF24" i="4"/>
  <c r="AE24" i="4"/>
  <c r="AF27" i="4"/>
  <c r="AE27" i="4"/>
  <c r="AF25" i="4"/>
  <c r="AE25" i="4"/>
  <c r="AF21" i="4"/>
  <c r="AE21" i="4"/>
  <c r="AF28" i="4"/>
  <c r="AE28" i="4"/>
  <c r="AE22" i="4"/>
  <c r="AG22" i="4" s="1"/>
  <c r="AF26" i="4"/>
  <c r="AG26" i="4" s="1"/>
  <c r="AF20" i="4" l="1"/>
  <c r="AG20" i="4" s="1"/>
  <c r="AG27" i="4"/>
  <c r="AG21" i="4"/>
  <c r="AG23" i="4"/>
  <c r="AG28" i="4"/>
  <c r="AG25" i="4"/>
  <c r="AG24" i="4"/>
  <c r="C30" i="11" l="1"/>
  <c r="C25" i="11"/>
  <c r="M115" i="4" l="1"/>
  <c r="L115" i="4"/>
  <c r="N115" i="4" s="1"/>
  <c r="M114" i="4"/>
  <c r="L114" i="4"/>
  <c r="N114" i="4" s="1"/>
  <c r="M113" i="4"/>
  <c r="L113" i="4"/>
  <c r="N113" i="4" s="1"/>
  <c r="M112" i="4"/>
  <c r="L112" i="4"/>
  <c r="N112" i="4" s="1"/>
  <c r="M111" i="4"/>
  <c r="L111" i="4"/>
  <c r="N111" i="4" s="1"/>
  <c r="M110" i="4"/>
  <c r="L110" i="4"/>
  <c r="N110" i="4" s="1"/>
  <c r="M109" i="4"/>
  <c r="L109" i="4"/>
  <c r="N109" i="4" s="1"/>
  <c r="M108" i="4"/>
  <c r="L108" i="4"/>
  <c r="N108" i="4" s="1"/>
  <c r="M107" i="4"/>
  <c r="L107" i="4"/>
  <c r="N107" i="4" s="1"/>
  <c r="M106" i="4"/>
  <c r="L106" i="4"/>
  <c r="N106" i="4" s="1"/>
  <c r="M105" i="4"/>
  <c r="L105" i="4"/>
  <c r="N105" i="4" s="1"/>
  <c r="M104" i="4"/>
  <c r="L104" i="4"/>
  <c r="N104" i="4" s="1"/>
  <c r="M103" i="4"/>
  <c r="L103" i="4"/>
  <c r="N103" i="4" s="1"/>
  <c r="M102" i="4"/>
  <c r="L102" i="4"/>
  <c r="N102" i="4" s="1"/>
  <c r="M101" i="4"/>
  <c r="L101" i="4"/>
  <c r="N101" i="4" s="1"/>
  <c r="M100" i="4"/>
  <c r="L100" i="4"/>
  <c r="N100" i="4" s="1"/>
  <c r="M99" i="4"/>
  <c r="L99" i="4"/>
  <c r="N99" i="4" s="1"/>
  <c r="M98" i="4"/>
  <c r="L98" i="4"/>
  <c r="N98" i="4" s="1"/>
  <c r="M97" i="4"/>
  <c r="L97" i="4"/>
  <c r="N97" i="4" s="1"/>
  <c r="M96" i="4"/>
  <c r="L96" i="4"/>
  <c r="N96" i="4" s="1"/>
  <c r="M95" i="4"/>
  <c r="L95" i="4"/>
  <c r="N95" i="4" s="1"/>
  <c r="M94" i="4"/>
  <c r="L94" i="4"/>
  <c r="N94" i="4" s="1"/>
  <c r="M93" i="4"/>
  <c r="L93" i="4"/>
  <c r="N93" i="4" s="1"/>
  <c r="M92" i="4"/>
  <c r="L92" i="4"/>
  <c r="N92" i="4" s="1"/>
  <c r="M91" i="4"/>
  <c r="L91" i="4"/>
  <c r="N91" i="4" s="1"/>
  <c r="M90" i="4"/>
  <c r="L90" i="4"/>
  <c r="N90" i="4" s="1"/>
  <c r="M89" i="4"/>
  <c r="L89" i="4"/>
  <c r="N89" i="4" s="1"/>
  <c r="M88" i="4"/>
  <c r="L88" i="4"/>
  <c r="N88" i="4" s="1"/>
  <c r="M87" i="4"/>
  <c r="L87" i="4"/>
  <c r="N87" i="4" s="1"/>
  <c r="M86" i="4"/>
  <c r="L86" i="4"/>
  <c r="N86" i="4" s="1"/>
  <c r="M85" i="4"/>
  <c r="L85" i="4"/>
  <c r="N85" i="4" s="1"/>
  <c r="M84" i="4"/>
  <c r="L84" i="4"/>
  <c r="N84" i="4" s="1"/>
  <c r="M83" i="4"/>
  <c r="L83" i="4"/>
  <c r="N83" i="4" s="1"/>
  <c r="M82" i="4"/>
  <c r="L82" i="4"/>
  <c r="N82" i="4" s="1"/>
  <c r="M81" i="4"/>
  <c r="L81" i="4"/>
  <c r="N81" i="4" s="1"/>
  <c r="M80" i="4"/>
  <c r="L80" i="4"/>
  <c r="N80" i="4" s="1"/>
  <c r="M79" i="4"/>
  <c r="L79" i="4"/>
  <c r="N79" i="4" s="1"/>
  <c r="M78" i="4"/>
  <c r="L78" i="4"/>
  <c r="N78" i="4" s="1"/>
  <c r="M77" i="4"/>
  <c r="L77" i="4"/>
  <c r="N77" i="4" s="1"/>
  <c r="M76" i="4"/>
  <c r="L76" i="4"/>
  <c r="N76" i="4" s="1"/>
  <c r="M75" i="4"/>
  <c r="L75" i="4"/>
  <c r="N75" i="4" s="1"/>
  <c r="M74" i="4"/>
  <c r="L74" i="4"/>
  <c r="N74" i="4" s="1"/>
  <c r="M73" i="4"/>
  <c r="L73" i="4"/>
  <c r="N73" i="4" s="1"/>
  <c r="M72" i="4"/>
  <c r="L72" i="4"/>
  <c r="N72" i="4" s="1"/>
  <c r="M71" i="4"/>
  <c r="L71" i="4"/>
  <c r="N71" i="4" s="1"/>
  <c r="M70" i="4"/>
  <c r="L70" i="4"/>
  <c r="N70" i="4" s="1"/>
  <c r="M69" i="4"/>
  <c r="L69" i="4"/>
  <c r="N69" i="4" s="1"/>
  <c r="M68" i="4"/>
  <c r="L68" i="4"/>
  <c r="N68" i="4" s="1"/>
  <c r="M67" i="4"/>
  <c r="L67" i="4"/>
  <c r="N67" i="4" s="1"/>
  <c r="M66" i="4"/>
  <c r="L66" i="4"/>
  <c r="N66" i="4" s="1"/>
  <c r="M65" i="4"/>
  <c r="L65" i="4"/>
  <c r="N65" i="4" s="1"/>
  <c r="M64" i="4"/>
  <c r="L64" i="4"/>
  <c r="N64" i="4" s="1"/>
  <c r="M63" i="4"/>
  <c r="L63" i="4"/>
  <c r="N63" i="4" s="1"/>
  <c r="M62" i="4"/>
  <c r="L62" i="4"/>
  <c r="N62" i="4" s="1"/>
  <c r="M61" i="4"/>
  <c r="L61" i="4"/>
  <c r="N61" i="4" s="1"/>
  <c r="M60" i="4"/>
  <c r="L60" i="4"/>
  <c r="N60" i="4" s="1"/>
  <c r="M59" i="4"/>
  <c r="L59" i="4"/>
  <c r="N59" i="4" s="1"/>
  <c r="M58" i="4"/>
  <c r="L58" i="4"/>
  <c r="N58" i="4" s="1"/>
  <c r="M57" i="4"/>
  <c r="L57" i="4"/>
  <c r="N57" i="4" s="1"/>
  <c r="M56" i="4"/>
  <c r="L56" i="4"/>
  <c r="N56" i="4" s="1"/>
  <c r="M55" i="4"/>
  <c r="L55" i="4"/>
  <c r="N55" i="4" s="1"/>
  <c r="M54" i="4"/>
  <c r="L54" i="4"/>
  <c r="N54" i="4" s="1"/>
  <c r="M53" i="4"/>
  <c r="L53" i="4"/>
  <c r="N53" i="4" s="1"/>
  <c r="M52" i="4"/>
  <c r="L52" i="4"/>
  <c r="N52" i="4" s="1"/>
  <c r="M51" i="4"/>
  <c r="L51" i="4"/>
  <c r="N51" i="4" s="1"/>
  <c r="M50" i="4"/>
  <c r="L50" i="4"/>
  <c r="N50" i="4" s="1"/>
  <c r="M49" i="4"/>
  <c r="L49" i="4"/>
  <c r="N49" i="4" s="1"/>
  <c r="M48" i="4"/>
  <c r="L48" i="4"/>
  <c r="N48" i="4" s="1"/>
  <c r="M47" i="4"/>
  <c r="L47" i="4"/>
  <c r="N47" i="4" s="1"/>
  <c r="M46" i="4"/>
  <c r="L46" i="4"/>
  <c r="N46" i="4" s="1"/>
  <c r="M45" i="4"/>
  <c r="L45" i="4"/>
  <c r="N45" i="4" s="1"/>
  <c r="M44" i="4"/>
  <c r="L44" i="4"/>
  <c r="N44" i="4" s="1"/>
  <c r="M43" i="4"/>
  <c r="L43" i="4"/>
  <c r="N43" i="4" s="1"/>
  <c r="M42" i="4"/>
  <c r="L42" i="4"/>
  <c r="N42" i="4" s="1"/>
  <c r="M41" i="4"/>
  <c r="L41" i="4"/>
  <c r="N41" i="4" s="1"/>
  <c r="M40" i="4"/>
  <c r="L40" i="4"/>
  <c r="N40" i="4" s="1"/>
  <c r="M39" i="4"/>
  <c r="L39" i="4"/>
  <c r="N39" i="4" s="1"/>
  <c r="M38" i="4"/>
  <c r="L38" i="4"/>
  <c r="N38" i="4" s="1"/>
  <c r="M37" i="4"/>
  <c r="L37" i="4"/>
  <c r="N37" i="4" s="1"/>
  <c r="T40" i="4" l="1"/>
  <c r="U40" i="4" s="1"/>
  <c r="O40" i="4"/>
  <c r="T44" i="4"/>
  <c r="U44" i="4" s="1"/>
  <c r="O44" i="4"/>
  <c r="T48" i="4"/>
  <c r="U48" i="4" s="1"/>
  <c r="O48" i="4"/>
  <c r="T52" i="4"/>
  <c r="U52" i="4" s="1"/>
  <c r="O52" i="4"/>
  <c r="T56" i="4"/>
  <c r="U56" i="4" s="1"/>
  <c r="O56" i="4"/>
  <c r="T60" i="4"/>
  <c r="U60" i="4" s="1"/>
  <c r="O60" i="4"/>
  <c r="T64" i="4"/>
  <c r="U64" i="4" s="1"/>
  <c r="O64" i="4"/>
  <c r="T68" i="4"/>
  <c r="U68" i="4" s="1"/>
  <c r="O68" i="4"/>
  <c r="T72" i="4"/>
  <c r="U72" i="4" s="1"/>
  <c r="O72" i="4"/>
  <c r="T76" i="4"/>
  <c r="U76" i="4" s="1"/>
  <c r="O76" i="4"/>
  <c r="T80" i="4"/>
  <c r="U80" i="4" s="1"/>
  <c r="O80" i="4"/>
  <c r="T84" i="4"/>
  <c r="U84" i="4" s="1"/>
  <c r="O84" i="4"/>
  <c r="T88" i="4"/>
  <c r="U88" i="4" s="1"/>
  <c r="O88" i="4"/>
  <c r="T92" i="4"/>
  <c r="U92" i="4" s="1"/>
  <c r="O92" i="4"/>
  <c r="T96" i="4"/>
  <c r="U96" i="4" s="1"/>
  <c r="O96" i="4"/>
  <c r="T100" i="4"/>
  <c r="U100" i="4" s="1"/>
  <c r="O100" i="4"/>
  <c r="T104" i="4"/>
  <c r="U104" i="4" s="1"/>
  <c r="O104" i="4"/>
  <c r="T108" i="4"/>
  <c r="U108" i="4" s="1"/>
  <c r="O108" i="4"/>
  <c r="T112" i="4"/>
  <c r="U112" i="4" s="1"/>
  <c r="O112" i="4"/>
  <c r="T41" i="4"/>
  <c r="U41" i="4" s="1"/>
  <c r="O41" i="4"/>
  <c r="T45" i="4"/>
  <c r="U45" i="4" s="1"/>
  <c r="O45" i="4"/>
  <c r="T49" i="4"/>
  <c r="U49" i="4" s="1"/>
  <c r="O49" i="4"/>
  <c r="T53" i="4"/>
  <c r="U53" i="4" s="1"/>
  <c r="O53" i="4"/>
  <c r="T57" i="4"/>
  <c r="U57" i="4" s="1"/>
  <c r="O57" i="4"/>
  <c r="T61" i="4"/>
  <c r="U61" i="4" s="1"/>
  <c r="O61" i="4"/>
  <c r="T65" i="4"/>
  <c r="U65" i="4" s="1"/>
  <c r="O65" i="4"/>
  <c r="T69" i="4"/>
  <c r="U69" i="4" s="1"/>
  <c r="O69" i="4"/>
  <c r="T73" i="4"/>
  <c r="U73" i="4" s="1"/>
  <c r="O73" i="4"/>
  <c r="T77" i="4"/>
  <c r="U77" i="4" s="1"/>
  <c r="O77" i="4"/>
  <c r="T81" i="4"/>
  <c r="U81" i="4" s="1"/>
  <c r="O81" i="4"/>
  <c r="T85" i="4"/>
  <c r="U85" i="4" s="1"/>
  <c r="O85" i="4"/>
  <c r="T89" i="4"/>
  <c r="U89" i="4" s="1"/>
  <c r="O89" i="4"/>
  <c r="T93" i="4"/>
  <c r="U93" i="4" s="1"/>
  <c r="O93" i="4"/>
  <c r="T97" i="4"/>
  <c r="U97" i="4" s="1"/>
  <c r="O97" i="4"/>
  <c r="T101" i="4"/>
  <c r="U101" i="4" s="1"/>
  <c r="O101" i="4"/>
  <c r="T105" i="4"/>
  <c r="U105" i="4" s="1"/>
  <c r="O105" i="4"/>
  <c r="T109" i="4"/>
  <c r="U109" i="4" s="1"/>
  <c r="O109" i="4"/>
  <c r="T113" i="4"/>
  <c r="U113" i="4" s="1"/>
  <c r="O113" i="4"/>
  <c r="T37" i="4"/>
  <c r="U37" i="4" s="1"/>
  <c r="O37" i="4"/>
  <c r="T38" i="4"/>
  <c r="U38" i="4" s="1"/>
  <c r="O38" i="4"/>
  <c r="T42" i="4"/>
  <c r="U42" i="4" s="1"/>
  <c r="O42" i="4"/>
  <c r="T46" i="4"/>
  <c r="U46" i="4" s="1"/>
  <c r="O46" i="4"/>
  <c r="T50" i="4"/>
  <c r="U50" i="4" s="1"/>
  <c r="O50" i="4"/>
  <c r="T54" i="4"/>
  <c r="U54" i="4" s="1"/>
  <c r="O54" i="4"/>
  <c r="T58" i="4"/>
  <c r="U58" i="4" s="1"/>
  <c r="O58" i="4"/>
  <c r="T62" i="4"/>
  <c r="U62" i="4" s="1"/>
  <c r="O62" i="4"/>
  <c r="T66" i="4"/>
  <c r="U66" i="4" s="1"/>
  <c r="O66" i="4"/>
  <c r="T70" i="4"/>
  <c r="U70" i="4" s="1"/>
  <c r="O70" i="4"/>
  <c r="T74" i="4"/>
  <c r="U74" i="4" s="1"/>
  <c r="O74" i="4"/>
  <c r="T78" i="4"/>
  <c r="U78" i="4" s="1"/>
  <c r="O78" i="4"/>
  <c r="T82" i="4"/>
  <c r="U82" i="4" s="1"/>
  <c r="O82" i="4"/>
  <c r="T86" i="4"/>
  <c r="U86" i="4" s="1"/>
  <c r="O86" i="4"/>
  <c r="T90" i="4"/>
  <c r="U90" i="4" s="1"/>
  <c r="O90" i="4"/>
  <c r="T94" i="4"/>
  <c r="U94" i="4" s="1"/>
  <c r="O94" i="4"/>
  <c r="T98" i="4"/>
  <c r="U98" i="4" s="1"/>
  <c r="O98" i="4"/>
  <c r="T102" i="4"/>
  <c r="U102" i="4" s="1"/>
  <c r="O102" i="4"/>
  <c r="T106" i="4"/>
  <c r="U106" i="4" s="1"/>
  <c r="O106" i="4"/>
  <c r="T110" i="4"/>
  <c r="U110" i="4" s="1"/>
  <c r="O110" i="4"/>
  <c r="T114" i="4"/>
  <c r="U114" i="4" s="1"/>
  <c r="O114" i="4"/>
  <c r="T39" i="4"/>
  <c r="U39" i="4" s="1"/>
  <c r="O39" i="4"/>
  <c r="T43" i="4"/>
  <c r="U43" i="4" s="1"/>
  <c r="O43" i="4"/>
  <c r="T47" i="4"/>
  <c r="U47" i="4" s="1"/>
  <c r="O47" i="4"/>
  <c r="T51" i="4"/>
  <c r="U51" i="4" s="1"/>
  <c r="O51" i="4"/>
  <c r="T55" i="4"/>
  <c r="U55" i="4" s="1"/>
  <c r="O55" i="4"/>
  <c r="T59" i="4"/>
  <c r="U59" i="4" s="1"/>
  <c r="O59" i="4"/>
  <c r="T63" i="4"/>
  <c r="U63" i="4" s="1"/>
  <c r="O63" i="4"/>
  <c r="T67" i="4"/>
  <c r="U67" i="4" s="1"/>
  <c r="O67" i="4"/>
  <c r="T71" i="4"/>
  <c r="U71" i="4" s="1"/>
  <c r="O71" i="4"/>
  <c r="T75" i="4"/>
  <c r="U75" i="4" s="1"/>
  <c r="O75" i="4"/>
  <c r="T79" i="4"/>
  <c r="U79" i="4" s="1"/>
  <c r="O79" i="4"/>
  <c r="T83" i="4"/>
  <c r="U83" i="4" s="1"/>
  <c r="O83" i="4"/>
  <c r="T87" i="4"/>
  <c r="U87" i="4" s="1"/>
  <c r="O87" i="4"/>
  <c r="T91" i="4"/>
  <c r="U91" i="4" s="1"/>
  <c r="O91" i="4"/>
  <c r="T95" i="4"/>
  <c r="U95" i="4" s="1"/>
  <c r="O95" i="4"/>
  <c r="T99" i="4"/>
  <c r="U99" i="4" s="1"/>
  <c r="O99" i="4"/>
  <c r="T103" i="4"/>
  <c r="U103" i="4" s="1"/>
  <c r="O103" i="4"/>
  <c r="T107" i="4"/>
  <c r="U107" i="4" s="1"/>
  <c r="O107" i="4"/>
  <c r="T111" i="4"/>
  <c r="U111" i="4" s="1"/>
  <c r="O111" i="4"/>
  <c r="T115" i="4"/>
  <c r="U115" i="4" s="1"/>
  <c r="O115" i="4"/>
  <c r="C29" i="11"/>
  <c r="C28" i="11"/>
  <c r="C27" i="11"/>
  <c r="C24" i="11"/>
  <c r="C22" i="11"/>
  <c r="C21" i="11"/>
  <c r="AC115" i="4" l="1"/>
  <c r="AD115" i="4" s="1"/>
  <c r="AF115" i="4" s="1"/>
  <c r="AC114" i="4"/>
  <c r="AD114" i="4" s="1"/>
  <c r="AF114" i="4" s="1"/>
  <c r="AC113" i="4"/>
  <c r="AD113" i="4" s="1"/>
  <c r="AC112" i="4"/>
  <c r="AD112" i="4" s="1"/>
  <c r="AC111" i="4"/>
  <c r="AD111" i="4" s="1"/>
  <c r="AC110" i="4"/>
  <c r="AD110" i="4" s="1"/>
  <c r="AC109" i="4"/>
  <c r="AD109" i="4" s="1"/>
  <c r="AF109" i="4" s="1"/>
  <c r="AC108" i="4"/>
  <c r="AD108" i="4" s="1"/>
  <c r="AF108" i="4" s="1"/>
  <c r="AC107" i="4"/>
  <c r="AD107" i="4" s="1"/>
  <c r="AF107" i="4" s="1"/>
  <c r="AC106" i="4"/>
  <c r="AD106" i="4" s="1"/>
  <c r="AF106" i="4" s="1"/>
  <c r="AC105" i="4"/>
  <c r="AD105" i="4" s="1"/>
  <c r="AC104" i="4"/>
  <c r="AD104" i="4" s="1"/>
  <c r="AC103" i="4"/>
  <c r="AD103" i="4" s="1"/>
  <c r="AC102" i="4"/>
  <c r="AD102" i="4" s="1"/>
  <c r="AC101" i="4"/>
  <c r="AD101" i="4" s="1"/>
  <c r="AC100" i="4"/>
  <c r="AD100" i="4" s="1"/>
  <c r="AF100" i="4" s="1"/>
  <c r="AC99" i="4"/>
  <c r="AD99" i="4" s="1"/>
  <c r="AF99" i="4" s="1"/>
  <c r="AC98" i="4"/>
  <c r="AD98" i="4" s="1"/>
  <c r="AF98" i="4" s="1"/>
  <c r="AC97" i="4"/>
  <c r="AD97" i="4" s="1"/>
  <c r="AC96" i="4"/>
  <c r="AD96" i="4" s="1"/>
  <c r="AC95" i="4"/>
  <c r="AD95" i="4" s="1"/>
  <c r="AC94" i="4"/>
  <c r="AD94" i="4" s="1"/>
  <c r="AC93" i="4"/>
  <c r="AD93" i="4" s="1"/>
  <c r="AC92" i="4"/>
  <c r="AD92" i="4" s="1"/>
  <c r="AF92" i="4" s="1"/>
  <c r="AC91" i="4"/>
  <c r="AD91" i="4" s="1"/>
  <c r="AF91" i="4" s="1"/>
  <c r="AC90" i="4"/>
  <c r="AD90" i="4" s="1"/>
  <c r="AF90" i="4" s="1"/>
  <c r="AC89" i="4"/>
  <c r="AD89" i="4" s="1"/>
  <c r="AC88" i="4"/>
  <c r="AD88" i="4" s="1"/>
  <c r="AC87" i="4"/>
  <c r="AD87" i="4" s="1"/>
  <c r="AC86" i="4"/>
  <c r="AD86" i="4" s="1"/>
  <c r="AF86" i="4" s="1"/>
  <c r="AC85" i="4"/>
  <c r="AD85" i="4" s="1"/>
  <c r="AC84" i="4"/>
  <c r="AD84" i="4" s="1"/>
  <c r="AF84" i="4" s="1"/>
  <c r="AC83" i="4"/>
  <c r="AD83" i="4" s="1"/>
  <c r="AF83" i="4" s="1"/>
  <c r="AC82" i="4"/>
  <c r="AD82" i="4" s="1"/>
  <c r="AF82" i="4" s="1"/>
  <c r="AC81" i="4"/>
  <c r="AD81" i="4" s="1"/>
  <c r="AF81" i="4" s="1"/>
  <c r="AC80" i="4"/>
  <c r="AD80" i="4" s="1"/>
  <c r="AC79" i="4"/>
  <c r="AD79" i="4" s="1"/>
  <c r="AF79" i="4" s="1"/>
  <c r="AC78" i="4"/>
  <c r="AD78" i="4" s="1"/>
  <c r="AC77" i="4"/>
  <c r="AD77" i="4" s="1"/>
  <c r="AE77" i="4" s="1"/>
  <c r="AC76" i="4"/>
  <c r="AD76" i="4" s="1"/>
  <c r="AF76" i="4" s="1"/>
  <c r="AC75" i="4"/>
  <c r="AD75" i="4" s="1"/>
  <c r="AF75" i="4" s="1"/>
  <c r="AC74" i="4"/>
  <c r="AD74" i="4" s="1"/>
  <c r="AF74" i="4" s="1"/>
  <c r="AC73" i="4"/>
  <c r="AD73" i="4" s="1"/>
  <c r="AC72" i="4"/>
  <c r="AD72" i="4" s="1"/>
  <c r="AC71" i="4"/>
  <c r="AD71" i="4" s="1"/>
  <c r="AF71" i="4" s="1"/>
  <c r="AC70" i="4"/>
  <c r="AD70" i="4" s="1"/>
  <c r="AE70" i="4" s="1"/>
  <c r="AC69" i="4"/>
  <c r="AD69" i="4" s="1"/>
  <c r="AC68" i="4"/>
  <c r="AD68" i="4" s="1"/>
  <c r="AF68" i="4" s="1"/>
  <c r="AC67" i="4"/>
  <c r="AD67" i="4" s="1"/>
  <c r="AF67" i="4" s="1"/>
  <c r="AC66" i="4"/>
  <c r="AD66" i="4" s="1"/>
  <c r="AF66" i="4" s="1"/>
  <c r="AC65" i="4"/>
  <c r="AD65" i="4" s="1"/>
  <c r="AF65" i="4" s="1"/>
  <c r="AC64" i="4"/>
  <c r="AD64" i="4" s="1"/>
  <c r="AC63" i="4"/>
  <c r="AD63" i="4" s="1"/>
  <c r="AF63" i="4" s="1"/>
  <c r="AC62" i="4"/>
  <c r="AD62" i="4" s="1"/>
  <c r="AC61" i="4"/>
  <c r="AD61" i="4" s="1"/>
  <c r="AE61" i="4" s="1"/>
  <c r="AC60" i="4"/>
  <c r="AD60" i="4" s="1"/>
  <c r="AF60" i="4" s="1"/>
  <c r="AC59" i="4"/>
  <c r="AD59" i="4" s="1"/>
  <c r="AF59" i="4" s="1"/>
  <c r="AC58" i="4"/>
  <c r="AD58" i="4" s="1"/>
  <c r="AF58" i="4" s="1"/>
  <c r="AC57" i="4"/>
  <c r="AD57" i="4" s="1"/>
  <c r="AC56" i="4"/>
  <c r="AD56" i="4" s="1"/>
  <c r="AC55" i="4"/>
  <c r="AD55" i="4" s="1"/>
  <c r="AF55" i="4" s="1"/>
  <c r="AC54" i="4"/>
  <c r="AD54" i="4" s="1"/>
  <c r="AE54" i="4" s="1"/>
  <c r="AC53" i="4"/>
  <c r="AD53" i="4" s="1"/>
  <c r="AC52" i="4"/>
  <c r="AD52" i="4" s="1"/>
  <c r="AF52" i="4" s="1"/>
  <c r="AC51" i="4"/>
  <c r="AD51" i="4" s="1"/>
  <c r="AF51" i="4" s="1"/>
  <c r="AC50" i="4"/>
  <c r="AD50" i="4" s="1"/>
  <c r="AF50" i="4" s="1"/>
  <c r="AC49" i="4"/>
  <c r="AD49" i="4" s="1"/>
  <c r="AF49" i="4" s="1"/>
  <c r="AC48" i="4"/>
  <c r="AD48" i="4" s="1"/>
  <c r="AC47" i="4"/>
  <c r="AD47" i="4" s="1"/>
  <c r="AF47" i="4" s="1"/>
  <c r="AC46" i="4"/>
  <c r="AD46" i="4" s="1"/>
  <c r="AC45" i="4"/>
  <c r="AD45" i="4" s="1"/>
  <c r="AE45" i="4" s="1"/>
  <c r="AC44" i="4"/>
  <c r="AD44" i="4" s="1"/>
  <c r="AF44" i="4" s="1"/>
  <c r="AC43" i="4"/>
  <c r="AD43" i="4" s="1"/>
  <c r="AF43" i="4" s="1"/>
  <c r="AC42" i="4"/>
  <c r="AD42" i="4" s="1"/>
  <c r="AF42" i="4" s="1"/>
  <c r="AC41" i="4"/>
  <c r="AD41" i="4" s="1"/>
  <c r="AC40" i="4"/>
  <c r="AD40" i="4" s="1"/>
  <c r="AC39" i="4"/>
  <c r="AD39" i="4" s="1"/>
  <c r="AF39" i="4" s="1"/>
  <c r="AC38" i="4"/>
  <c r="AD38" i="4" s="1"/>
  <c r="AE38" i="4" s="1"/>
  <c r="AC37" i="4"/>
  <c r="AD37" i="4" s="1"/>
  <c r="AC36" i="4"/>
  <c r="AD36" i="4" s="1"/>
  <c r="AF36" i="4" s="1"/>
  <c r="AC35" i="4"/>
  <c r="AD35" i="4" s="1"/>
  <c r="AF35" i="4" s="1"/>
  <c r="AC34" i="4"/>
  <c r="AD34" i="4" s="1"/>
  <c r="AF34" i="4" s="1"/>
  <c r="AC33" i="4"/>
  <c r="AD33" i="4" s="1"/>
  <c r="AC32" i="4"/>
  <c r="AD32" i="4" s="1"/>
  <c r="AC31" i="4"/>
  <c r="AD31" i="4" s="1"/>
  <c r="AF31" i="4" s="1"/>
  <c r="AC30" i="4"/>
  <c r="AD30" i="4" s="1"/>
  <c r="AC29" i="4"/>
  <c r="AD29" i="4" l="1"/>
  <c r="AF29" i="4" s="1"/>
  <c r="AC17" i="4"/>
  <c r="AE37" i="4"/>
  <c r="AF37" i="4"/>
  <c r="AE53" i="4"/>
  <c r="AF53" i="4"/>
  <c r="AE69" i="4"/>
  <c r="AF69" i="4"/>
  <c r="AE85" i="4"/>
  <c r="AF85" i="4"/>
  <c r="AF93" i="4"/>
  <c r="AE93" i="4"/>
  <c r="AF101" i="4"/>
  <c r="AE101" i="4"/>
  <c r="AE46" i="4"/>
  <c r="AF46" i="4"/>
  <c r="AE62" i="4"/>
  <c r="AF62" i="4"/>
  <c r="AE78" i="4"/>
  <c r="AF78" i="4"/>
  <c r="AF94" i="4"/>
  <c r="AE94" i="4"/>
  <c r="AE102" i="4"/>
  <c r="AF102" i="4"/>
  <c r="AF110" i="4"/>
  <c r="AE110" i="4"/>
  <c r="AF95" i="4"/>
  <c r="AE95" i="4"/>
  <c r="AF40" i="4"/>
  <c r="AE40" i="4"/>
  <c r="AF64" i="4"/>
  <c r="AE64" i="4"/>
  <c r="AF80" i="4"/>
  <c r="AE80" i="4"/>
  <c r="AF88" i="4"/>
  <c r="AE88" i="4"/>
  <c r="AF96" i="4"/>
  <c r="AE96" i="4"/>
  <c r="AF104" i="4"/>
  <c r="AE104" i="4"/>
  <c r="AF112" i="4"/>
  <c r="AE112" i="4"/>
  <c r="AF41" i="4"/>
  <c r="AE41" i="4"/>
  <c r="AF57" i="4"/>
  <c r="AE57" i="4"/>
  <c r="AF73" i="4"/>
  <c r="AE73" i="4"/>
  <c r="AF89" i="4"/>
  <c r="AE89" i="4"/>
  <c r="AF97" i="4"/>
  <c r="AE97" i="4"/>
  <c r="AF105" i="4"/>
  <c r="AE105" i="4"/>
  <c r="AF113" i="4"/>
  <c r="AE113" i="4"/>
  <c r="AF87" i="4"/>
  <c r="AE87" i="4"/>
  <c r="AF111" i="4"/>
  <c r="AE111" i="4"/>
  <c r="AF56" i="4"/>
  <c r="AE56" i="4"/>
  <c r="AF103" i="4"/>
  <c r="AE103" i="4"/>
  <c r="AF48" i="4"/>
  <c r="AE48" i="4"/>
  <c r="AF72" i="4"/>
  <c r="AE72" i="4"/>
  <c r="AF70" i="4"/>
  <c r="AG70" i="4" s="1"/>
  <c r="AF45" i="4"/>
  <c r="AG45" i="4" s="1"/>
  <c r="AF61" i="4"/>
  <c r="AG61" i="4" s="1"/>
  <c r="AF77" i="4"/>
  <c r="AG77" i="4" s="1"/>
  <c r="AE109" i="4"/>
  <c r="AG109" i="4" s="1"/>
  <c r="AF54" i="4"/>
  <c r="AG54" i="4" s="1"/>
  <c r="AE86" i="4"/>
  <c r="AG86" i="4" s="1"/>
  <c r="AE81" i="4"/>
  <c r="AG81" i="4" s="1"/>
  <c r="AF38" i="4"/>
  <c r="AG38" i="4" s="1"/>
  <c r="AE49" i="4"/>
  <c r="AG49" i="4" s="1"/>
  <c r="AE65" i="4"/>
  <c r="AF32" i="4"/>
  <c r="AE32" i="4"/>
  <c r="AF33" i="4"/>
  <c r="AE33" i="4"/>
  <c r="AE30" i="4"/>
  <c r="AF30" i="4"/>
  <c r="AE36" i="4"/>
  <c r="AG36" i="4" s="1"/>
  <c r="AE44" i="4"/>
  <c r="AG44" i="4" s="1"/>
  <c r="AE52" i="4"/>
  <c r="AE60" i="4"/>
  <c r="AG60" i="4" s="1"/>
  <c r="AE68" i="4"/>
  <c r="AG68" i="4" s="1"/>
  <c r="AE76" i="4"/>
  <c r="AG76" i="4" s="1"/>
  <c r="AE84" i="4"/>
  <c r="AG84" i="4" s="1"/>
  <c r="AE92" i="4"/>
  <c r="AG92" i="4" s="1"/>
  <c r="AE100" i="4"/>
  <c r="AE108" i="4"/>
  <c r="AG108" i="4" s="1"/>
  <c r="AE31" i="4"/>
  <c r="AG31" i="4" s="1"/>
  <c r="AE39" i="4"/>
  <c r="AG39" i="4" s="1"/>
  <c r="AE47" i="4"/>
  <c r="AG47" i="4" s="1"/>
  <c r="AE55" i="4"/>
  <c r="AG55" i="4" s="1"/>
  <c r="AE63" i="4"/>
  <c r="AG63" i="4" s="1"/>
  <c r="AE71" i="4"/>
  <c r="AG71" i="4" s="1"/>
  <c r="AE79" i="4"/>
  <c r="AG79" i="4" s="1"/>
  <c r="AE34" i="4"/>
  <c r="AG34" i="4" s="1"/>
  <c r="AE42" i="4"/>
  <c r="AE50" i="4"/>
  <c r="AE58" i="4"/>
  <c r="AG58" i="4" s="1"/>
  <c r="AE66" i="4"/>
  <c r="AE74" i="4"/>
  <c r="AG74" i="4" s="1"/>
  <c r="AE82" i="4"/>
  <c r="AG82" i="4" s="1"/>
  <c r="AE90" i="4"/>
  <c r="AE98" i="4"/>
  <c r="AE106" i="4"/>
  <c r="AE114" i="4"/>
  <c r="AG114" i="4" s="1"/>
  <c r="AE35" i="4"/>
  <c r="AG35" i="4" s="1"/>
  <c r="AE43" i="4"/>
  <c r="AE51" i="4"/>
  <c r="AE59" i="4"/>
  <c r="AG59" i="4" s="1"/>
  <c r="AE67" i="4"/>
  <c r="AG67" i="4" s="1"/>
  <c r="AE75" i="4"/>
  <c r="AG75" i="4" s="1"/>
  <c r="AE83" i="4"/>
  <c r="AG83" i="4" s="1"/>
  <c r="AE91" i="4"/>
  <c r="AG91" i="4" s="1"/>
  <c r="AE99" i="4"/>
  <c r="AG99" i="4" s="1"/>
  <c r="AE107" i="4"/>
  <c r="AE115" i="4"/>
  <c r="C13" i="11"/>
  <c r="C12" i="11"/>
  <c r="C19" i="11"/>
  <c r="C18" i="11"/>
  <c r="C17" i="11"/>
  <c r="C15" i="11"/>
  <c r="C14" i="11"/>
  <c r="C16" i="11"/>
  <c r="C23" i="11" s="1"/>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B11" i="10"/>
  <c r="AF17" i="4" l="1"/>
  <c r="AE29" i="4"/>
  <c r="AE17" i="4" s="1"/>
  <c r="AD17" i="4"/>
  <c r="AG85" i="4"/>
  <c r="AG87" i="4"/>
  <c r="AG89" i="4"/>
  <c r="AG110" i="4"/>
  <c r="AG62" i="4"/>
  <c r="AG64" i="4"/>
  <c r="AG78" i="4"/>
  <c r="AG56" i="4"/>
  <c r="AG105" i="4"/>
  <c r="AG96" i="4"/>
  <c r="AG94" i="4"/>
  <c r="AG41" i="4"/>
  <c r="AG72" i="4"/>
  <c r="AG97" i="4"/>
  <c r="AG95" i="4"/>
  <c r="AG113" i="4"/>
  <c r="AG104" i="4"/>
  <c r="AG102" i="4"/>
  <c r="AG46" i="4"/>
  <c r="AG111" i="4"/>
  <c r="AG88" i="4"/>
  <c r="AG103" i="4"/>
  <c r="AG73" i="4"/>
  <c r="AG93" i="4"/>
  <c r="AG32" i="4"/>
  <c r="AG33" i="4"/>
  <c r="AG53" i="4"/>
  <c r="AG30" i="4"/>
  <c r="AG115" i="4"/>
  <c r="AG52" i="4"/>
  <c r="AG43" i="4"/>
  <c r="AG112" i="4"/>
  <c r="AG48" i="4"/>
  <c r="AG107" i="4"/>
  <c r="AG40" i="4"/>
  <c r="AG57" i="4"/>
  <c r="AG100" i="4"/>
  <c r="AG51" i="4"/>
  <c r="AG65" i="4"/>
  <c r="AG80" i="4"/>
  <c r="AG66" i="4"/>
  <c r="AG50" i="4"/>
  <c r="AG106" i="4"/>
  <c r="AG42" i="4"/>
  <c r="AG37" i="4"/>
  <c r="AG101" i="4"/>
  <c r="AG98" i="4"/>
  <c r="AG90" i="4"/>
  <c r="AG69" i="4"/>
  <c r="L27" i="4"/>
  <c r="N27" i="4" s="1"/>
  <c r="L20" i="4"/>
  <c r="N20" i="4" s="1"/>
  <c r="L24" i="4"/>
  <c r="N24" i="4" s="1"/>
  <c r="AG17" i="4" l="1"/>
  <c r="AG29" i="4"/>
  <c r="Q115" i="4"/>
  <c r="W115" i="4" s="1"/>
  <c r="P115" i="4"/>
  <c r="V115" i="4" s="1"/>
  <c r="Q114" i="4"/>
  <c r="W114" i="4" s="1"/>
  <c r="P114" i="4"/>
  <c r="V114" i="4" s="1"/>
  <c r="Q113" i="4"/>
  <c r="W113" i="4" s="1"/>
  <c r="P113" i="4"/>
  <c r="V113" i="4" s="1"/>
  <c r="Q112" i="4"/>
  <c r="W112" i="4" s="1"/>
  <c r="P112" i="4"/>
  <c r="V112" i="4" s="1"/>
  <c r="Q111" i="4"/>
  <c r="W111" i="4" s="1"/>
  <c r="P111" i="4"/>
  <c r="V111" i="4" s="1"/>
  <c r="Q110" i="4"/>
  <c r="W110" i="4" s="1"/>
  <c r="P110" i="4"/>
  <c r="V110" i="4" s="1"/>
  <c r="Q109" i="4"/>
  <c r="W109" i="4" s="1"/>
  <c r="P109" i="4"/>
  <c r="V109" i="4" s="1"/>
  <c r="Q108" i="4"/>
  <c r="W108" i="4" s="1"/>
  <c r="P108" i="4"/>
  <c r="V108" i="4" s="1"/>
  <c r="Q107" i="4"/>
  <c r="W107" i="4" s="1"/>
  <c r="P107" i="4"/>
  <c r="V107" i="4" s="1"/>
  <c r="Q106" i="4"/>
  <c r="W106" i="4" s="1"/>
  <c r="P106" i="4"/>
  <c r="V106" i="4" s="1"/>
  <c r="Q105" i="4"/>
  <c r="W105" i="4" s="1"/>
  <c r="P105" i="4"/>
  <c r="V105" i="4" s="1"/>
  <c r="Q104" i="4"/>
  <c r="W104" i="4" s="1"/>
  <c r="P104" i="4"/>
  <c r="V104" i="4" s="1"/>
  <c r="Q103" i="4"/>
  <c r="W103" i="4" s="1"/>
  <c r="P103" i="4"/>
  <c r="V103" i="4" s="1"/>
  <c r="Q102" i="4"/>
  <c r="W102" i="4" s="1"/>
  <c r="P102" i="4"/>
  <c r="V102" i="4" s="1"/>
  <c r="Q101" i="4"/>
  <c r="W101" i="4" s="1"/>
  <c r="P101" i="4"/>
  <c r="V101" i="4" s="1"/>
  <c r="Q100" i="4"/>
  <c r="W100" i="4" s="1"/>
  <c r="P100" i="4"/>
  <c r="V100" i="4" s="1"/>
  <c r="Q99" i="4"/>
  <c r="W99" i="4" s="1"/>
  <c r="P99" i="4"/>
  <c r="V99" i="4" s="1"/>
  <c r="Q98" i="4"/>
  <c r="W98" i="4" s="1"/>
  <c r="P98" i="4"/>
  <c r="V98" i="4" s="1"/>
  <c r="Q97" i="4"/>
  <c r="W97" i="4" s="1"/>
  <c r="P97" i="4"/>
  <c r="V97" i="4" s="1"/>
  <c r="Q96" i="4"/>
  <c r="W96" i="4" s="1"/>
  <c r="P96" i="4"/>
  <c r="V96" i="4" s="1"/>
  <c r="Q95" i="4"/>
  <c r="W95" i="4" s="1"/>
  <c r="P95" i="4"/>
  <c r="V95" i="4" s="1"/>
  <c r="Q94" i="4"/>
  <c r="W94" i="4" s="1"/>
  <c r="P94" i="4"/>
  <c r="V94" i="4" s="1"/>
  <c r="Q93" i="4"/>
  <c r="W93" i="4" s="1"/>
  <c r="P93" i="4"/>
  <c r="V93" i="4" s="1"/>
  <c r="Q92" i="4"/>
  <c r="W92" i="4" s="1"/>
  <c r="P92" i="4"/>
  <c r="V92" i="4" s="1"/>
  <c r="Q91" i="4"/>
  <c r="W91" i="4" s="1"/>
  <c r="P91" i="4"/>
  <c r="V91" i="4" s="1"/>
  <c r="Q90" i="4"/>
  <c r="W90" i="4" s="1"/>
  <c r="P90" i="4"/>
  <c r="V90" i="4" s="1"/>
  <c r="Q89" i="4"/>
  <c r="W89" i="4" s="1"/>
  <c r="P89" i="4"/>
  <c r="V89" i="4" s="1"/>
  <c r="Q88" i="4"/>
  <c r="W88" i="4" s="1"/>
  <c r="P88" i="4"/>
  <c r="V88" i="4" s="1"/>
  <c r="Q87" i="4"/>
  <c r="W87" i="4" s="1"/>
  <c r="P87" i="4"/>
  <c r="V87" i="4" s="1"/>
  <c r="Q86" i="4"/>
  <c r="W86" i="4" s="1"/>
  <c r="P86" i="4"/>
  <c r="V86" i="4" s="1"/>
  <c r="Q85" i="4"/>
  <c r="W85" i="4" s="1"/>
  <c r="P85" i="4"/>
  <c r="V85" i="4" s="1"/>
  <c r="Q84" i="4"/>
  <c r="W84" i="4" s="1"/>
  <c r="P84" i="4"/>
  <c r="V84" i="4" s="1"/>
  <c r="Q83" i="4"/>
  <c r="W83" i="4" s="1"/>
  <c r="P83" i="4"/>
  <c r="V83" i="4" s="1"/>
  <c r="Q82" i="4"/>
  <c r="W82" i="4" s="1"/>
  <c r="P82" i="4"/>
  <c r="V82" i="4" s="1"/>
  <c r="Q81" i="4"/>
  <c r="W81" i="4" s="1"/>
  <c r="P81" i="4"/>
  <c r="V81" i="4" s="1"/>
  <c r="Q80" i="4"/>
  <c r="W80" i="4" s="1"/>
  <c r="P80" i="4"/>
  <c r="V80" i="4" s="1"/>
  <c r="Q79" i="4"/>
  <c r="W79" i="4" s="1"/>
  <c r="P79" i="4"/>
  <c r="V79" i="4" s="1"/>
  <c r="Q78" i="4"/>
  <c r="W78" i="4" s="1"/>
  <c r="P78" i="4"/>
  <c r="V78" i="4" s="1"/>
  <c r="Q77" i="4"/>
  <c r="W77" i="4" s="1"/>
  <c r="P77" i="4"/>
  <c r="V77" i="4" s="1"/>
  <c r="Q76" i="4"/>
  <c r="W76" i="4" s="1"/>
  <c r="P76" i="4"/>
  <c r="V76" i="4" s="1"/>
  <c r="Q75" i="4"/>
  <c r="W75" i="4" s="1"/>
  <c r="P75" i="4"/>
  <c r="V75" i="4" s="1"/>
  <c r="Q74" i="4"/>
  <c r="W74" i="4" s="1"/>
  <c r="P74" i="4"/>
  <c r="V74" i="4" s="1"/>
  <c r="Q73" i="4"/>
  <c r="W73" i="4" s="1"/>
  <c r="P73" i="4"/>
  <c r="V73" i="4" s="1"/>
  <c r="Q72" i="4"/>
  <c r="W72" i="4" s="1"/>
  <c r="P72" i="4"/>
  <c r="V72" i="4" s="1"/>
  <c r="Q71" i="4"/>
  <c r="W71" i="4" s="1"/>
  <c r="P71" i="4"/>
  <c r="V71" i="4" s="1"/>
  <c r="Q70" i="4"/>
  <c r="W70" i="4" s="1"/>
  <c r="P70" i="4"/>
  <c r="V70" i="4" s="1"/>
  <c r="Q69" i="4"/>
  <c r="W69" i="4" s="1"/>
  <c r="P69" i="4"/>
  <c r="V69" i="4" s="1"/>
  <c r="Q68" i="4"/>
  <c r="W68" i="4" s="1"/>
  <c r="P68" i="4"/>
  <c r="V68" i="4" s="1"/>
  <c r="Q67" i="4"/>
  <c r="W67" i="4" s="1"/>
  <c r="P67" i="4"/>
  <c r="V67" i="4" s="1"/>
  <c r="Q66" i="4"/>
  <c r="W66" i="4" s="1"/>
  <c r="P66" i="4"/>
  <c r="V66" i="4" s="1"/>
  <c r="Q65" i="4"/>
  <c r="W65" i="4" s="1"/>
  <c r="P65" i="4"/>
  <c r="V65" i="4" s="1"/>
  <c r="Q64" i="4"/>
  <c r="W64" i="4" s="1"/>
  <c r="P64" i="4"/>
  <c r="V64" i="4" s="1"/>
  <c r="Q63" i="4"/>
  <c r="W63" i="4" s="1"/>
  <c r="P63" i="4"/>
  <c r="V63" i="4" s="1"/>
  <c r="Q62" i="4"/>
  <c r="W62" i="4" s="1"/>
  <c r="P62" i="4"/>
  <c r="V62" i="4" s="1"/>
  <c r="Q61" i="4"/>
  <c r="W61" i="4" s="1"/>
  <c r="P61" i="4"/>
  <c r="V61" i="4" s="1"/>
  <c r="Q60" i="4"/>
  <c r="W60" i="4" s="1"/>
  <c r="P60" i="4"/>
  <c r="V60" i="4" s="1"/>
  <c r="Q59" i="4"/>
  <c r="W59" i="4" s="1"/>
  <c r="P59" i="4"/>
  <c r="V59" i="4" s="1"/>
  <c r="Q58" i="4"/>
  <c r="W58" i="4" s="1"/>
  <c r="P58" i="4"/>
  <c r="V58" i="4" s="1"/>
  <c r="Q57" i="4"/>
  <c r="W57" i="4" s="1"/>
  <c r="P57" i="4"/>
  <c r="V57" i="4" s="1"/>
  <c r="Q56" i="4"/>
  <c r="W56" i="4" s="1"/>
  <c r="P56" i="4"/>
  <c r="V56" i="4" s="1"/>
  <c r="Q55" i="4"/>
  <c r="W55" i="4" s="1"/>
  <c r="P55" i="4"/>
  <c r="V55" i="4" s="1"/>
  <c r="Q54" i="4"/>
  <c r="W54" i="4" s="1"/>
  <c r="P54" i="4"/>
  <c r="V54" i="4" s="1"/>
  <c r="Q53" i="4"/>
  <c r="W53" i="4" s="1"/>
  <c r="P53" i="4"/>
  <c r="V53" i="4" s="1"/>
  <c r="Q52" i="4"/>
  <c r="W52" i="4" s="1"/>
  <c r="P52" i="4"/>
  <c r="V52" i="4" s="1"/>
  <c r="Q51" i="4"/>
  <c r="W51" i="4" s="1"/>
  <c r="P51" i="4"/>
  <c r="V51" i="4" s="1"/>
  <c r="Q50" i="4"/>
  <c r="W50" i="4" s="1"/>
  <c r="P50" i="4"/>
  <c r="V50" i="4" s="1"/>
  <c r="Q49" i="4"/>
  <c r="W49" i="4" s="1"/>
  <c r="P49" i="4"/>
  <c r="V49" i="4" s="1"/>
  <c r="Q48" i="4"/>
  <c r="W48" i="4" s="1"/>
  <c r="P48" i="4"/>
  <c r="V48" i="4" s="1"/>
  <c r="Q47" i="4"/>
  <c r="W47" i="4" s="1"/>
  <c r="P47" i="4"/>
  <c r="V47" i="4" s="1"/>
  <c r="Q46" i="4"/>
  <c r="W46" i="4" s="1"/>
  <c r="P46" i="4"/>
  <c r="V46" i="4" s="1"/>
  <c r="Q45" i="4"/>
  <c r="W45" i="4" s="1"/>
  <c r="P45" i="4"/>
  <c r="V45" i="4" s="1"/>
  <c r="Q44" i="4"/>
  <c r="W44" i="4" s="1"/>
  <c r="P44" i="4"/>
  <c r="V44" i="4" s="1"/>
  <c r="Q43" i="4"/>
  <c r="W43" i="4" s="1"/>
  <c r="P43" i="4"/>
  <c r="V43" i="4" s="1"/>
  <c r="Q42" i="4"/>
  <c r="W42" i="4" s="1"/>
  <c r="P42" i="4"/>
  <c r="V42" i="4" s="1"/>
  <c r="Q41" i="4"/>
  <c r="W41" i="4" s="1"/>
  <c r="P41" i="4"/>
  <c r="V41" i="4" s="1"/>
  <c r="Q40" i="4"/>
  <c r="W40" i="4" s="1"/>
  <c r="P40" i="4"/>
  <c r="V40" i="4" s="1"/>
  <c r="Q39" i="4"/>
  <c r="W39" i="4" s="1"/>
  <c r="P39" i="4"/>
  <c r="V39" i="4" s="1"/>
  <c r="Q38" i="4"/>
  <c r="W38" i="4" s="1"/>
  <c r="P38" i="4"/>
  <c r="V38" i="4" s="1"/>
  <c r="Q37" i="4"/>
  <c r="W37" i="4" s="1"/>
  <c r="P37" i="4"/>
  <c r="V37" i="4" s="1"/>
  <c r="Q36" i="4"/>
  <c r="P36" i="4"/>
  <c r="V36" i="4" s="1"/>
  <c r="M36" i="4"/>
  <c r="L36" i="4"/>
  <c r="N36" i="4" s="1"/>
  <c r="Q35" i="4"/>
  <c r="P35" i="4"/>
  <c r="V35" i="4" s="1"/>
  <c r="M35" i="4"/>
  <c r="L35" i="4"/>
  <c r="N35" i="4" s="1"/>
  <c r="Q34" i="4"/>
  <c r="P34" i="4"/>
  <c r="V34" i="4" s="1"/>
  <c r="M34" i="4"/>
  <c r="L34" i="4"/>
  <c r="N34" i="4" s="1"/>
  <c r="Q33" i="4"/>
  <c r="P33" i="4"/>
  <c r="V33" i="4" s="1"/>
  <c r="M33" i="4"/>
  <c r="L33" i="4"/>
  <c r="N33" i="4" s="1"/>
  <c r="Q32" i="4"/>
  <c r="P32" i="4"/>
  <c r="V32" i="4" s="1"/>
  <c r="M32" i="4"/>
  <c r="L32" i="4"/>
  <c r="N32" i="4" s="1"/>
  <c r="Q31" i="4"/>
  <c r="P31" i="4"/>
  <c r="V31" i="4" s="1"/>
  <c r="M31" i="4"/>
  <c r="L31" i="4"/>
  <c r="N31" i="4" s="1"/>
  <c r="Q30" i="4"/>
  <c r="P30" i="4"/>
  <c r="V30" i="4" s="1"/>
  <c r="M30" i="4"/>
  <c r="L30" i="4"/>
  <c r="N30" i="4" s="1"/>
  <c r="Q29" i="4"/>
  <c r="P29" i="4"/>
  <c r="V29" i="4" s="1"/>
  <c r="M29" i="4"/>
  <c r="L29" i="4"/>
  <c r="N29" i="4" s="1"/>
  <c r="Q28" i="4"/>
  <c r="P28" i="4"/>
  <c r="V28" i="4" s="1"/>
  <c r="M28" i="4"/>
  <c r="L28" i="4"/>
  <c r="N28" i="4" s="1"/>
  <c r="Q27" i="4"/>
  <c r="P27" i="4"/>
  <c r="V27" i="4" s="1"/>
  <c r="M27" i="4"/>
  <c r="Q26" i="4"/>
  <c r="P26" i="4"/>
  <c r="V26" i="4" s="1"/>
  <c r="M26" i="4"/>
  <c r="L26" i="4"/>
  <c r="N26" i="4" s="1"/>
  <c r="Q25" i="4"/>
  <c r="P25" i="4"/>
  <c r="V25" i="4" s="1"/>
  <c r="M25" i="4"/>
  <c r="L25" i="4"/>
  <c r="N25" i="4" s="1"/>
  <c r="Q24" i="4"/>
  <c r="P24" i="4"/>
  <c r="V24" i="4" s="1"/>
  <c r="M24" i="4"/>
  <c r="Q23" i="4"/>
  <c r="W23" i="4" s="1"/>
  <c r="P23" i="4"/>
  <c r="V23" i="4" s="1"/>
  <c r="T23" i="4"/>
  <c r="U23" i="4" s="1"/>
  <c r="L23" i="4"/>
  <c r="N23" i="4" s="1"/>
  <c r="Q22" i="4"/>
  <c r="P22" i="4"/>
  <c r="V22" i="4" s="1"/>
  <c r="M22" i="4"/>
  <c r="L22" i="4"/>
  <c r="N22" i="4" s="1"/>
  <c r="Q21" i="4"/>
  <c r="W21" i="4" s="1"/>
  <c r="P21" i="4"/>
  <c r="V21" i="4" s="1"/>
  <c r="T21" i="4"/>
  <c r="U21" i="4" s="1"/>
  <c r="L21" i="4"/>
  <c r="N21" i="4" s="1"/>
  <c r="Q20" i="4"/>
  <c r="P20" i="4"/>
  <c r="V20" i="4" s="1"/>
  <c r="M20" i="4"/>
  <c r="T33" i="4" l="1"/>
  <c r="U33" i="4" s="1"/>
  <c r="O33" i="4"/>
  <c r="T35" i="4"/>
  <c r="U35" i="4" s="1"/>
  <c r="O35" i="4"/>
  <c r="T34" i="4"/>
  <c r="U34" i="4" s="1"/>
  <c r="O34" i="4"/>
  <c r="T36" i="4"/>
  <c r="U36" i="4" s="1"/>
  <c r="O36" i="4"/>
  <c r="W34" i="4"/>
  <c r="W36" i="4"/>
  <c r="T27" i="4"/>
  <c r="U27" i="4" s="1"/>
  <c r="O27" i="4"/>
  <c r="T29" i="4"/>
  <c r="U29" i="4" s="1"/>
  <c r="O29" i="4"/>
  <c r="T28" i="4"/>
  <c r="U28" i="4" s="1"/>
  <c r="O28" i="4"/>
  <c r="T24" i="4"/>
  <c r="U24" i="4" s="1"/>
  <c r="O24" i="4"/>
  <c r="T22" i="4"/>
  <c r="U22" i="4" s="1"/>
  <c r="O22" i="4"/>
  <c r="T25" i="4"/>
  <c r="U25" i="4" s="1"/>
  <c r="O25" i="4"/>
  <c r="T30" i="4"/>
  <c r="U30" i="4" s="1"/>
  <c r="O30" i="4"/>
  <c r="T20" i="4"/>
  <c r="U20" i="4" s="1"/>
  <c r="O20" i="4"/>
  <c r="T26" i="4"/>
  <c r="U26" i="4" s="1"/>
  <c r="O26" i="4"/>
  <c r="T31" i="4"/>
  <c r="U31" i="4" s="1"/>
  <c r="O31" i="4"/>
  <c r="T32" i="4"/>
  <c r="U32" i="4" s="1"/>
  <c r="O32" i="4"/>
  <c r="C5" i="13" s="1"/>
  <c r="D5" i="13" s="1"/>
  <c r="N17" i="4"/>
  <c r="W28" i="4"/>
  <c r="W30" i="4"/>
  <c r="W32" i="4"/>
  <c r="W27" i="4"/>
  <c r="W29" i="4"/>
  <c r="W31" i="4"/>
  <c r="W33" i="4"/>
  <c r="W35" i="4"/>
  <c r="W24" i="4"/>
  <c r="W26" i="4"/>
  <c r="W20" i="4"/>
  <c r="W22" i="4"/>
  <c r="W25" i="4"/>
  <c r="C10" i="13"/>
  <c r="D9" i="13"/>
  <c r="F9" i="8"/>
  <c r="S20" i="4" l="1"/>
  <c r="Y20" i="4"/>
  <c r="Y17" i="4" s="1"/>
  <c r="C8" i="13"/>
  <c r="D8" i="13" s="1"/>
  <c r="C6" i="13"/>
  <c r="D6" i="13" s="1"/>
  <c r="O17" i="4"/>
  <c r="P17" i="4" s="1"/>
  <c r="U19" i="4"/>
  <c r="T17" i="4"/>
  <c r="D10" i="13"/>
  <c r="S19" i="4"/>
  <c r="D7" i="13"/>
  <c r="F17" i="8"/>
  <c r="F16" i="8"/>
  <c r="F15" i="8"/>
  <c r="F14" i="8"/>
  <c r="F13" i="8"/>
  <c r="F12" i="8"/>
  <c r="F11" i="8"/>
  <c r="F10" i="8"/>
  <c r="F8" i="8"/>
  <c r="F7" i="8"/>
  <c r="F6" i="8"/>
  <c r="F5" i="8"/>
  <c r="F4" i="8"/>
  <c r="F3" i="8"/>
  <c r="B11" i="3"/>
  <c r="F11" i="3" s="1"/>
  <c r="X19" i="4" l="1"/>
  <c r="U17" i="4"/>
  <c r="V17" i="4" l="1"/>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S77" i="4"/>
  <c r="R77" i="4"/>
  <c r="S76" i="4"/>
  <c r="R76" i="4"/>
  <c r="S75" i="4"/>
  <c r="R75" i="4"/>
  <c r="S74" i="4"/>
  <c r="R74" i="4"/>
  <c r="S73" i="4"/>
  <c r="R73" i="4"/>
  <c r="S72" i="4"/>
  <c r="R72" i="4"/>
  <c r="S71" i="4"/>
  <c r="R71" i="4"/>
  <c r="S70" i="4"/>
  <c r="R70" i="4"/>
  <c r="S69" i="4"/>
  <c r="R69" i="4"/>
  <c r="S68" i="4"/>
  <c r="R68" i="4"/>
  <c r="S67" i="4"/>
  <c r="R67" i="4"/>
  <c r="S66" i="4"/>
  <c r="R66" i="4"/>
  <c r="S65" i="4"/>
  <c r="R65" i="4"/>
  <c r="S64" i="4"/>
  <c r="R64" i="4"/>
  <c r="S63" i="4"/>
  <c r="R63" i="4"/>
  <c r="S62" i="4"/>
  <c r="R62" i="4"/>
  <c r="S61" i="4"/>
  <c r="R61" i="4"/>
  <c r="S60" i="4"/>
  <c r="R60" i="4"/>
  <c r="S59" i="4"/>
  <c r="R59" i="4"/>
  <c r="S58" i="4"/>
  <c r="R58" i="4"/>
  <c r="S57" i="4"/>
  <c r="R57" i="4"/>
  <c r="S56" i="4"/>
  <c r="R56" i="4"/>
  <c r="S55" i="4"/>
  <c r="R55" i="4"/>
  <c r="S54" i="4"/>
  <c r="R54" i="4"/>
  <c r="S53" i="4"/>
  <c r="R53" i="4"/>
  <c r="S52" i="4"/>
  <c r="R52" i="4"/>
  <c r="S51" i="4"/>
  <c r="R51" i="4"/>
  <c r="S50" i="4"/>
  <c r="R50" i="4"/>
  <c r="S49" i="4"/>
  <c r="R49" i="4"/>
  <c r="S48" i="4"/>
  <c r="R48" i="4"/>
  <c r="S47" i="4"/>
  <c r="R47" i="4"/>
  <c r="S46" i="4"/>
  <c r="R46" i="4"/>
  <c r="S45" i="4"/>
  <c r="R45" i="4"/>
  <c r="S44" i="4"/>
  <c r="R44" i="4"/>
  <c r="S43" i="4"/>
  <c r="R43" i="4"/>
  <c r="S42" i="4"/>
  <c r="R42" i="4"/>
  <c r="S41" i="4"/>
  <c r="R41" i="4"/>
  <c r="S40" i="4"/>
  <c r="R40" i="4"/>
  <c r="S39" i="4"/>
  <c r="R39" i="4"/>
  <c r="R38" i="4"/>
  <c r="R37" i="4"/>
  <c r="R36" i="4"/>
  <c r="R35" i="4"/>
  <c r="S34" i="4"/>
  <c r="R34" i="4"/>
  <c r="R33" i="4"/>
  <c r="R32" i="4"/>
  <c r="S31" i="4"/>
  <c r="R31" i="4"/>
  <c r="R30" i="4"/>
  <c r="R28" i="4"/>
  <c r="R27" i="4"/>
  <c r="R26" i="4"/>
  <c r="R25" i="4"/>
  <c r="R24" i="4"/>
  <c r="R23" i="4"/>
  <c r="R22" i="4"/>
  <c r="R21" i="4"/>
  <c r="R20" i="4"/>
  <c r="X31" i="4" l="1"/>
  <c r="X42" i="4"/>
  <c r="X46" i="4"/>
  <c r="X50" i="4"/>
  <c r="X54" i="4"/>
  <c r="X58" i="4"/>
  <c r="X62" i="4"/>
  <c r="X66" i="4"/>
  <c r="X70" i="4"/>
  <c r="X74" i="4"/>
  <c r="X39" i="4"/>
  <c r="X43" i="4"/>
  <c r="X47" i="4"/>
  <c r="X51" i="4"/>
  <c r="X34" i="4"/>
  <c r="X40" i="4"/>
  <c r="X44" i="4"/>
  <c r="X48" i="4"/>
  <c r="X52" i="4"/>
  <c r="X56" i="4"/>
  <c r="X60" i="4"/>
  <c r="X64" i="4"/>
  <c r="X68" i="4"/>
  <c r="X72" i="4"/>
  <c r="X76" i="4"/>
  <c r="X41" i="4"/>
  <c r="X45" i="4"/>
  <c r="X49" i="4"/>
  <c r="X55" i="4"/>
  <c r="X59" i="4"/>
  <c r="X63" i="4"/>
  <c r="X67" i="4"/>
  <c r="X71" i="4"/>
  <c r="X75" i="4"/>
  <c r="X53" i="4"/>
  <c r="X57" i="4"/>
  <c r="X61" i="4"/>
  <c r="X65" i="4"/>
  <c r="X69" i="4"/>
  <c r="X73" i="4"/>
  <c r="X77" i="4"/>
  <c r="S35" i="4"/>
  <c r="X35" i="4" s="1"/>
  <c r="S33" i="4"/>
  <c r="X33" i="4" s="1"/>
  <c r="S37" i="4"/>
  <c r="X37" i="4" s="1"/>
  <c r="S32" i="4"/>
  <c r="X32" i="4" s="1"/>
  <c r="S36" i="4"/>
  <c r="X36" i="4" s="1"/>
  <c r="S80" i="4"/>
  <c r="X80" i="4" s="1"/>
  <c r="S84" i="4"/>
  <c r="X84" i="4" s="1"/>
  <c r="S88" i="4"/>
  <c r="X88" i="4" s="1"/>
  <c r="S92" i="4"/>
  <c r="X92" i="4" s="1"/>
  <c r="S96" i="4"/>
  <c r="X96" i="4" s="1"/>
  <c r="S100" i="4"/>
  <c r="X100" i="4" s="1"/>
  <c r="S104" i="4"/>
  <c r="X104" i="4" s="1"/>
  <c r="S108" i="4"/>
  <c r="X108" i="4" s="1"/>
  <c r="S112" i="4"/>
  <c r="X112" i="4" s="1"/>
  <c r="S81" i="4"/>
  <c r="X81" i="4" s="1"/>
  <c r="S85" i="4"/>
  <c r="X85" i="4" s="1"/>
  <c r="S89" i="4"/>
  <c r="X89" i="4" s="1"/>
  <c r="S93" i="4"/>
  <c r="X93" i="4" s="1"/>
  <c r="S97" i="4"/>
  <c r="X97" i="4" s="1"/>
  <c r="S101" i="4"/>
  <c r="X101" i="4" s="1"/>
  <c r="S105" i="4"/>
  <c r="X105" i="4" s="1"/>
  <c r="S109" i="4"/>
  <c r="X109" i="4" s="1"/>
  <c r="S113" i="4"/>
  <c r="X113" i="4" s="1"/>
  <c r="S78" i="4"/>
  <c r="X78" i="4" s="1"/>
  <c r="S38" i="4"/>
  <c r="X38" i="4" s="1"/>
  <c r="S82" i="4"/>
  <c r="X82" i="4" s="1"/>
  <c r="S86" i="4"/>
  <c r="X86" i="4" s="1"/>
  <c r="S90" i="4"/>
  <c r="X90" i="4" s="1"/>
  <c r="S94" i="4"/>
  <c r="X94" i="4" s="1"/>
  <c r="S98" i="4"/>
  <c r="X98" i="4" s="1"/>
  <c r="S102" i="4"/>
  <c r="X102" i="4" s="1"/>
  <c r="S106" i="4"/>
  <c r="X106" i="4" s="1"/>
  <c r="S110" i="4"/>
  <c r="X110" i="4" s="1"/>
  <c r="S114" i="4"/>
  <c r="X114" i="4" s="1"/>
  <c r="S30" i="4"/>
  <c r="X30" i="4" s="1"/>
  <c r="S79" i="4"/>
  <c r="X79" i="4" s="1"/>
  <c r="S83" i="4"/>
  <c r="X83" i="4" s="1"/>
  <c r="S87" i="4"/>
  <c r="X87" i="4" s="1"/>
  <c r="S91" i="4"/>
  <c r="X91" i="4" s="1"/>
  <c r="S95" i="4"/>
  <c r="X95" i="4" s="1"/>
  <c r="S99" i="4"/>
  <c r="X99" i="4" s="1"/>
  <c r="S103" i="4"/>
  <c r="X103" i="4" s="1"/>
  <c r="S107" i="4"/>
  <c r="X107" i="4" s="1"/>
  <c r="S111" i="4"/>
  <c r="X111" i="4" s="1"/>
  <c r="S115" i="4"/>
  <c r="X115" i="4" s="1"/>
  <c r="X20" i="4"/>
  <c r="S21" i="4"/>
  <c r="X21" i="4" s="1"/>
  <c r="S22" i="4"/>
  <c r="X22" i="4" s="1"/>
  <c r="S23" i="4"/>
  <c r="X23" i="4" s="1"/>
  <c r="S24" i="4"/>
  <c r="X24" i="4" s="1"/>
  <c r="S25" i="4"/>
  <c r="X25" i="4" s="1"/>
  <c r="S26" i="4"/>
  <c r="X26" i="4" s="1"/>
  <c r="S27" i="4"/>
  <c r="X27" i="4" s="1"/>
  <c r="S28" i="4"/>
  <c r="X28" i="4" s="1"/>
  <c r="S29" i="4"/>
  <c r="R29" i="4"/>
  <c r="X29" i="4" l="1"/>
  <c r="X17" i="4" s="1"/>
  <c r="W17" i="4"/>
  <c r="S17" i="4"/>
  <c r="R17" i="4"/>
  <c r="D14" i="3" l="1"/>
  <c r="H14" i="3" s="1"/>
  <c r="C14" i="3"/>
  <c r="G14" i="3" s="1"/>
  <c r="B14" i="3"/>
  <c r="F14" i="3" s="1"/>
  <c r="D13" i="3"/>
  <c r="H13" i="3" s="1"/>
  <c r="C13" i="3"/>
  <c r="G13" i="3" s="1"/>
  <c r="B13" i="3"/>
  <c r="F13" i="3" s="1"/>
  <c r="D12" i="3"/>
  <c r="H12" i="3" s="1"/>
  <c r="C12" i="3"/>
  <c r="G12" i="3" s="1"/>
  <c r="B12" i="3"/>
  <c r="F12" i="3" s="1"/>
  <c r="D11" i="3"/>
  <c r="H11" i="3" s="1"/>
  <c r="C11" i="3"/>
  <c r="G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 Alexander</author>
    <author>tc={24AA2211-F238-460B-A6FF-CD2497124223}</author>
  </authors>
  <commentList>
    <comment ref="D5" authorId="0" shapeId="0" xr:uid="{D35C737D-711D-4FE5-B282-D67ED76D181B}">
      <text>
        <r>
          <rPr>
            <b/>
            <sz val="9"/>
            <color indexed="81"/>
            <rFont val="Tahoma"/>
            <family val="2"/>
          </rPr>
          <t>Select appropriate site type from drop-down menu. Refer to User Notes for descriptions</t>
        </r>
      </text>
    </comment>
    <comment ref="K6" authorId="0" shapeId="0" xr:uid="{A640FA71-F2EF-440D-9EC6-190674CBC832}">
      <text>
        <r>
          <rPr>
            <b/>
            <sz val="9"/>
            <color indexed="81"/>
            <rFont val="Tahoma"/>
            <family val="2"/>
          </rPr>
          <t>Example figures used for sites to provide weighted hours (for entry into column I) where lighting hours vary within a building. Can be changed when this information is known using the salmon cells, otherwise assume whole building is single usage</t>
        </r>
      </text>
    </comment>
    <comment ref="D7" authorId="0" shapeId="0" xr:uid="{18484284-71F3-4EAF-8D3C-7D9DADCA49F9}">
      <text>
        <r>
          <rPr>
            <b/>
            <sz val="9"/>
            <color indexed="81"/>
            <rFont val="Tahoma"/>
            <family val="2"/>
          </rPr>
          <t>Change if known/applicable</t>
        </r>
      </text>
    </comment>
    <comment ref="AG17" authorId="1" shapeId="0" xr:uid="{24AA2211-F238-460B-A6FF-CD2497124223}">
      <text>
        <t>[Threaded comment]
Your version of Excel allows you to read this threaded comment; however, any edits to it will get removed if the file is opened in a newer version of Excel. Learn more: https://go.microsoft.com/fwlink/?linkid=870924
Comment:
    is this cell supposed to look like this?</t>
      </text>
    </comment>
    <comment ref="T18" authorId="0" shapeId="0" xr:uid="{B6AD4215-AAAD-4FFA-A226-F7D26A0BED6E}">
      <text>
        <r>
          <rPr>
            <b/>
            <sz val="9"/>
            <color indexed="81"/>
            <rFont val="Tahoma"/>
            <family val="2"/>
          </rPr>
          <t>Excluding design, prelims, contingency, survey and management costs</t>
        </r>
      </text>
    </comment>
    <comment ref="U18" authorId="0" shapeId="0" xr:uid="{2CE5E965-A6EB-4A1C-BA07-9D4A8D1A2335}">
      <text>
        <r>
          <rPr>
            <b/>
            <sz val="9"/>
            <color indexed="81"/>
            <rFont val="Tahoma"/>
            <family val="2"/>
          </rPr>
          <t>Including all additional costs for LED installation as given in Site Data (column D) - design, prelims, contingency, survey and management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Tuff</author>
  </authors>
  <commentList>
    <comment ref="F2" authorId="0" shapeId="0" xr:uid="{E83D36A5-C062-4814-9FF7-6E67FE253DF4}">
      <text>
        <r>
          <rPr>
            <b/>
            <sz val="9"/>
            <color indexed="81"/>
            <rFont val="Tahoma"/>
            <family val="2"/>
          </rPr>
          <t>Grant Tuff:</t>
        </r>
        <r>
          <rPr>
            <sz val="9"/>
            <color indexed="81"/>
            <rFont val="Tahoma"/>
            <family val="2"/>
          </rPr>
          <t xml:space="preserve">
See Detailed lighting model for sources:
http://my.hdle.it/78314258</t>
        </r>
      </text>
    </comment>
  </commentList>
</comments>
</file>

<file path=xl/sharedStrings.xml><?xml version="1.0" encoding="utf-8"?>
<sst xmlns="http://schemas.openxmlformats.org/spreadsheetml/2006/main" count="623" uniqueCount="299">
  <si>
    <t>Should further information be required, please contact us at:</t>
  </si>
  <si>
    <t>psdecarbguidance@es.catapult.org.uk</t>
  </si>
  <si>
    <t>Guidance</t>
  </si>
  <si>
    <t>This estimator is designed to provide an estimation of costs and energy efficiency benefits of upgrading existing lighting to light-emitting diode (LED) lighting on a campus style site or at an organisational portfolio level. Using this estimator also provides a repository of site information to be assembled in a consistent format.
This guidance is produced as part of the development of a consistent approach to assessing decarbonisation for scaled delivery.</t>
  </si>
  <si>
    <r>
      <t>LED lighting will generally pay back well, and within a few years.  Where applicable, a lighting retrofit programme for a whole site should be considered, only omitting areas where payback seemed excessive (e.g. &gt;10 years). Note that a proportion of the costs of routine replacement of existing lighting will be saved due to the longer operating lifetime of LED lights. Therefore the frequency of replacement, based on bulb lifetimes and operating hours, and an additional cost of £5/m</t>
    </r>
    <r>
      <rPr>
        <vertAlign val="superscript"/>
        <sz val="11"/>
        <rFont val="Segoe UI"/>
        <family val="2"/>
      </rPr>
      <t>2</t>
    </r>
    <r>
      <rPr>
        <sz val="11"/>
        <rFont val="Segoe UI"/>
        <family val="2"/>
      </rPr>
      <t xml:space="preserve"> are added to account for labour and administration costs of routine bulb replacement based on the proportion of total floor area per year.
Power required for existing and LED replacement lighting will depend on the existing lighting level required as well as the existing lighting type. These are input based on the site specific information and form the basis of the estimations provided.</t>
    </r>
  </si>
  <si>
    <t>General Notes</t>
  </si>
  <si>
    <t>1) All salmon pink cells are for user input</t>
  </si>
  <si>
    <t>2) All blue cells are automatically calculated based on user input and data from assumptions</t>
  </si>
  <si>
    <t>Tabs</t>
  </si>
  <si>
    <r>
      <t xml:space="preserve">The </t>
    </r>
    <r>
      <rPr>
        <i/>
        <sz val="11"/>
        <color theme="1"/>
        <rFont val="Segoe UI"/>
        <family val="2"/>
      </rPr>
      <t>LED Lighting Estimator</t>
    </r>
    <r>
      <rPr>
        <sz val="11"/>
        <color theme="1"/>
        <rFont val="Segoe UI"/>
        <family val="2"/>
      </rPr>
      <t xml:space="preserve"> tab is the main calculator as described below.</t>
    </r>
  </si>
  <si>
    <r>
      <t xml:space="preserve">The </t>
    </r>
    <r>
      <rPr>
        <i/>
        <sz val="11"/>
        <color theme="1"/>
        <rFont val="Segoe UI"/>
        <family val="2"/>
      </rPr>
      <t>Savings Hours</t>
    </r>
    <r>
      <rPr>
        <sz val="11"/>
        <color theme="1"/>
        <rFont val="Segoe UI"/>
        <family val="2"/>
      </rPr>
      <t xml:space="preserve"> tab provides estimates of when in the day energy might be saved for use in site energy modelling within engineering analyses.</t>
    </r>
  </si>
  <si>
    <r>
      <t xml:space="preserve">The </t>
    </r>
    <r>
      <rPr>
        <i/>
        <sz val="11"/>
        <color theme="1"/>
        <rFont val="Segoe UI"/>
        <family val="2"/>
      </rPr>
      <t>User Data Sources and Assumptions</t>
    </r>
    <r>
      <rPr>
        <sz val="11"/>
        <color theme="1"/>
        <rFont val="Segoe UI"/>
        <family val="2"/>
      </rPr>
      <t xml:space="preserve"> tab should be used by the tool user to record  the sources and file locations of data used to populate this model for future reference.</t>
    </r>
  </si>
  <si>
    <r>
      <t xml:space="preserve">Model Details - </t>
    </r>
    <r>
      <rPr>
        <b/>
        <i/>
        <sz val="11"/>
        <color theme="0"/>
        <rFont val="Segoe UI"/>
        <family val="2"/>
      </rPr>
      <t>LED Lighting Model</t>
    </r>
    <r>
      <rPr>
        <b/>
        <sz val="11"/>
        <color theme="0"/>
        <rFont val="Segoe UI"/>
        <family val="2"/>
      </rPr>
      <t xml:space="preserve"> tab</t>
    </r>
  </si>
  <si>
    <t>2) Enter site electricity cost, site labour cost to replace a fitting, and survey cost per building - plus any additional cost percentages. Default estimate values are provided as standard if site data is not available</t>
  </si>
  <si>
    <t>3) Complete details for building across  different parts of the site, separating out any sub-areas</t>
  </si>
  <si>
    <t>4) Enter floor area for each site sub-area</t>
  </si>
  <si>
    <t>5) Select Area type (this gives a broad breakdown of lighting requirements based on CIBSE Part F) and sub-type (used in LED installations calculations) from drop-down lists</t>
  </si>
  <si>
    <t>7) Select current lighting density (this reflects different levels of lighting detailed in CIBSE Part F). Note that for "Commercial" area use category the maximum density available is 750 lux, whereas for "Industrial" it is 1,000 lux</t>
  </si>
  <si>
    <t>8) Set current light on time and days per week operation. Note that for some buildings a single line item in the model could contains areas with different lighting times. A calculation of the weighted average time is provided which can be adapted to suit site particulars</t>
  </si>
  <si>
    <t>9) Set whether upgrade includes lighting controls</t>
  </si>
  <si>
    <t>10) Calculations for each area are performed in blue</t>
  </si>
  <si>
    <t>11) Results for the whole site are provided. Additional cost percentages for Prelims etc. are only added to the Total LED installation costs. They are not added to individual line item costs. Total site values will therefore not be an exact match to the sum of the individual line items</t>
  </si>
  <si>
    <t>12) A cross reference to the Building Energy Efficiency Survey (BEES) 2014-15  data is available for comparisons / reference, by selecting the BEES Building Use Category and BEES Lighting Use Category. BEES set out to improve and update the evidence of how energy is used, and to provide an assessment of the abatement opportunities for all non-domestic premises across England and Wales</t>
  </si>
  <si>
    <t>User Notes</t>
  </si>
  <si>
    <t>If the lighting energy use calculated by the model seems high consider adjusting the usage hours to lower values. Remember that very few areas (even in facilities that operate 24/7) will have the lights on 24 hours a day. For example, most hospital wards are dark overnight to allow patients to rest.</t>
  </si>
  <si>
    <t>Unit costs used in this estimator for different types of lighting have been estimated using real life installation examples carried out in 2020. These have been adjusted and compound inflation has been added to represent expected 2023 pricing. To do this, two years of CPI have been applied (2.5% for 2021 and 7.9% for 2022) - Source: ONS Inflation and Price Indices.</t>
  </si>
  <si>
    <t>Ensure that all line items have cost values calculated. The sub categories influence costs and are dependent on the organisation selected. If the organisation has been changed then the sub categories may be inappropriate and costs may not be calculated correctly.</t>
  </si>
  <si>
    <r>
      <t xml:space="preserve">Note that within the </t>
    </r>
    <r>
      <rPr>
        <i/>
        <sz val="11"/>
        <color theme="1"/>
        <rFont val="Segoe UI"/>
        <family val="2"/>
      </rPr>
      <t>Savings Hours</t>
    </r>
    <r>
      <rPr>
        <sz val="11"/>
        <color theme="1"/>
        <rFont val="Segoe UI"/>
        <family val="2"/>
      </rPr>
      <t xml:space="preserve"> tab, savings for 4 hour operation are assumed to be spread over an 8 hour day.</t>
    </r>
  </si>
  <si>
    <t>LED Lighting Estimator</t>
  </si>
  <si>
    <t>Site reference</t>
  </si>
  <si>
    <t>Site Data</t>
  </si>
  <si>
    <t>Site Organisation type</t>
  </si>
  <si>
    <t>Standard</t>
  </si>
  <si>
    <t>Average hours calculator</t>
  </si>
  <si>
    <t>Cost details</t>
  </si>
  <si>
    <t>Default value</t>
  </si>
  <si>
    <t>Building</t>
  </si>
  <si>
    <t>Areas</t>
  </si>
  <si>
    <t>Electricity cost (£/kWh)</t>
  </si>
  <si>
    <t>Common Room</t>
  </si>
  <si>
    <t>Corridors</t>
  </si>
  <si>
    <t>Rooms</t>
  </si>
  <si>
    <t>Cost to Replace Bulb (£)</t>
  </si>
  <si>
    <t>Hours of lighting</t>
  </si>
  <si>
    <r>
      <t>Site Survey Cost(£/m</t>
    </r>
    <r>
      <rPr>
        <b/>
        <vertAlign val="superscript"/>
        <sz val="11"/>
        <color theme="1"/>
        <rFont val="Calibri"/>
        <family val="2"/>
        <scheme val="minor"/>
      </rPr>
      <t>2</t>
    </r>
    <r>
      <rPr>
        <b/>
        <sz val="11"/>
        <color theme="1"/>
        <rFont val="Calibri"/>
        <family val="2"/>
        <scheme val="minor"/>
      </rPr>
      <t>)</t>
    </r>
  </si>
  <si>
    <t>Percentage footprint</t>
  </si>
  <si>
    <t>Preliminaries</t>
  </si>
  <si>
    <t>Weighted Hours average</t>
  </si>
  <si>
    <t>Contingency</t>
  </si>
  <si>
    <t>Design</t>
  </si>
  <si>
    <t>Site Management</t>
  </si>
  <si>
    <t>Site Totals</t>
  </si>
  <si>
    <t>Totals</t>
  </si>
  <si>
    <t>Room Location / Identifier</t>
  </si>
  <si>
    <r>
      <t>Floor Area (m</t>
    </r>
    <r>
      <rPr>
        <b/>
        <vertAlign val="superscript"/>
        <sz val="11"/>
        <color theme="0"/>
        <rFont val="Calibri"/>
        <family val="2"/>
        <scheme val="minor"/>
      </rPr>
      <t>2</t>
    </r>
    <r>
      <rPr>
        <b/>
        <sz val="11"/>
        <color theme="0"/>
        <rFont val="Calibri"/>
        <family val="2"/>
        <scheme val="minor"/>
      </rPr>
      <t>)</t>
    </r>
  </si>
  <si>
    <t>Area Use Category</t>
  </si>
  <si>
    <t>Use Sub Category</t>
  </si>
  <si>
    <t>Installed Lamp Type</t>
  </si>
  <si>
    <t>Lighting Density (Lux)</t>
  </si>
  <si>
    <t>Usage (hours per day)</t>
  </si>
  <si>
    <t>Usage (days per week)</t>
  </si>
  <si>
    <t>Controls Added in Upgrade</t>
  </si>
  <si>
    <t>Current Power (kW)</t>
  </si>
  <si>
    <t>LED Power (kW)</t>
  </si>
  <si>
    <t>Current Annual Energy (kWh)</t>
  </si>
  <si>
    <t>LED Annual Energy (kWh)</t>
  </si>
  <si>
    <t>Current Annual Replacement Rate</t>
  </si>
  <si>
    <t>LED Annual Replacement Rate</t>
  </si>
  <si>
    <t>Current Annual Energy Cost (£)</t>
  </si>
  <si>
    <t>LED Annual Energy Cost (£)</t>
  </si>
  <si>
    <t>LED Installation Cost (£)</t>
  </si>
  <si>
    <t>Total Installation Cost (£)</t>
  </si>
  <si>
    <t>Current Annual Replacement Cost (£)</t>
  </si>
  <si>
    <t>LED Annual Replacement Cost (£)</t>
  </si>
  <si>
    <t>ROI (years)</t>
  </si>
  <si>
    <r>
      <t>Carbon Reduction (kgCO</t>
    </r>
    <r>
      <rPr>
        <b/>
        <vertAlign val="subscript"/>
        <sz val="11"/>
        <color theme="0"/>
        <rFont val="Calibri"/>
        <family val="2"/>
        <scheme val="minor"/>
      </rPr>
      <t>2</t>
    </r>
    <r>
      <rPr>
        <b/>
        <sz val="11"/>
        <color theme="0"/>
        <rFont val="Calibri"/>
        <family val="2"/>
        <scheme val="minor"/>
      </rPr>
      <t>e/annum)</t>
    </r>
  </si>
  <si>
    <t>BEES Category</t>
  </si>
  <si>
    <t>BEES Lighting Category</t>
  </si>
  <si>
    <t>BEES Base Annual Energy Consumption (kWh)</t>
  </si>
  <si>
    <t>BEES Annual  Energy Saving (kWh)</t>
  </si>
  <si>
    <t>BEES Energy Saving Value (£)</t>
  </si>
  <si>
    <t>BEES Installation Cost(£)</t>
  </si>
  <si>
    <t>BEES ROI (years)</t>
  </si>
  <si>
    <t>Saving Hours</t>
  </si>
  <si>
    <t>Hours per Day</t>
  </si>
  <si>
    <t>Annual Energy Savings [kWh]</t>
  </si>
  <si>
    <t>Hourly Energy Saving [kWh]</t>
  </si>
  <si>
    <t xml:space="preserve">Hour Start Saving </t>
  </si>
  <si>
    <t>Hour End Saving</t>
  </si>
  <si>
    <t>User Data Sources and Assumptions</t>
  </si>
  <si>
    <t>Input</t>
  </si>
  <si>
    <t>Notes on data sources &amp; assumptions</t>
  </si>
  <si>
    <t>Link</t>
  </si>
  <si>
    <t>Electricity cost (p/kWHh)</t>
  </si>
  <si>
    <r>
      <t>Cost to Replace Bulbs (£/m</t>
    </r>
    <r>
      <rPr>
        <vertAlign val="superscript"/>
        <sz val="11"/>
        <color theme="1"/>
        <rFont val="Calibri"/>
        <family val="2"/>
        <scheme val="minor"/>
      </rPr>
      <t>2</t>
    </r>
    <r>
      <rPr>
        <sz val="11"/>
        <color theme="1"/>
        <rFont val="Calibri"/>
        <family val="2"/>
        <scheme val="minor"/>
      </rPr>
      <t>)</t>
    </r>
  </si>
  <si>
    <r>
      <t>Site Survey Cost(£/m</t>
    </r>
    <r>
      <rPr>
        <vertAlign val="superscript"/>
        <sz val="11"/>
        <color theme="1"/>
        <rFont val="Calibri"/>
        <family val="2"/>
        <scheme val="minor"/>
      </rPr>
      <t>2</t>
    </r>
    <r>
      <rPr>
        <sz val="11"/>
        <color theme="1"/>
        <rFont val="Calibri"/>
        <family val="2"/>
        <scheme val="minor"/>
      </rPr>
      <t>)</t>
    </r>
  </si>
  <si>
    <t>Total site electricity consumption (kWh)</t>
  </si>
  <si>
    <t>Floor Area (m2)</t>
  </si>
  <si>
    <t>Useage (hours per day)</t>
  </si>
  <si>
    <t>Version Control</t>
  </si>
  <si>
    <t>Version Number</t>
  </si>
  <si>
    <t>Date Produced</t>
  </si>
  <si>
    <t>Owner Initials</t>
  </si>
  <si>
    <t>Key Changes</t>
  </si>
  <si>
    <t>MA</t>
  </si>
  <si>
    <t>Initial Release</t>
  </si>
  <si>
    <t>Addition of carbon reduction per annum, guidance updates and updated costs</t>
  </si>
  <si>
    <t>Note that these costs included controls.</t>
  </si>
  <si>
    <t>LED</t>
  </si>
  <si>
    <t>Cost / W</t>
  </si>
  <si>
    <t>Source</t>
  </si>
  <si>
    <t>Low_Density</t>
  </si>
  <si>
    <t xml:space="preserve">Accommodation          </t>
  </si>
  <si>
    <t>ESC internal reference</t>
  </si>
  <si>
    <t>https://www.ons.gov.uk/economy/inflationandpriceindices/timeseries/l55o/mm23</t>
  </si>
  <si>
    <t xml:space="preserve">Catering                      </t>
  </si>
  <si>
    <t xml:space="preserve">Classroom/training          </t>
  </si>
  <si>
    <t>Medical centre                 </t>
  </si>
  <si>
    <t>compound inflation</t>
  </si>
  <si>
    <t xml:space="preserve">Offices                                  </t>
  </si>
  <si>
    <t>Other</t>
  </si>
  <si>
    <t>Sports Pool</t>
  </si>
  <si>
    <t xml:space="preserve">Workshop             </t>
  </si>
  <si>
    <t>Clinics</t>
  </si>
  <si>
    <t>Offices</t>
  </si>
  <si>
    <t>Wards</t>
  </si>
  <si>
    <t>High_Security</t>
  </si>
  <si>
    <t>Prison Category B</t>
  </si>
  <si>
    <t>Prison Category C</t>
  </si>
  <si>
    <t>Prison Category D</t>
  </si>
  <si>
    <t xml:space="preserve">Emissions </t>
  </si>
  <si>
    <t>Gross</t>
  </si>
  <si>
    <r>
      <t>kgCO</t>
    </r>
    <r>
      <rPr>
        <b/>
        <vertAlign val="subscript"/>
        <sz val="11"/>
        <color theme="1"/>
        <rFont val="Calibri"/>
        <family val="2"/>
        <scheme val="minor"/>
      </rPr>
      <t>2</t>
    </r>
    <r>
      <rPr>
        <b/>
        <sz val="11"/>
        <color theme="1"/>
        <rFont val="Calibri"/>
        <family val="2"/>
        <scheme val="minor"/>
      </rPr>
      <t>e/kWh</t>
    </r>
  </si>
  <si>
    <t>Scope</t>
  </si>
  <si>
    <t>GHG reporting 2022</t>
  </si>
  <si>
    <t>Electricity Grid</t>
  </si>
  <si>
    <t>Scope 2</t>
  </si>
  <si>
    <t>Application</t>
  </si>
  <si>
    <t>Lamp Type</t>
  </si>
  <si>
    <t>Task illuminance (Lux)</t>
  </si>
  <si>
    <t>Lighting Density</t>
  </si>
  <si>
    <r>
      <t>Power (W/m</t>
    </r>
    <r>
      <rPr>
        <b/>
        <vertAlign val="superscript"/>
        <sz val="11"/>
        <color theme="1"/>
        <rFont val="Calibri"/>
        <family val="2"/>
        <scheme val="minor"/>
      </rPr>
      <t>2</t>
    </r>
    <r>
      <rPr>
        <b/>
        <sz val="11"/>
        <color theme="1"/>
        <rFont val="Calibri"/>
        <family val="2"/>
        <scheme val="minor"/>
      </rPr>
      <t>)</t>
    </r>
  </si>
  <si>
    <t>Lifetime</t>
  </si>
  <si>
    <t>Source for all except lifetimes</t>
  </si>
  <si>
    <t>Typical Illuminance (lux)</t>
  </si>
  <si>
    <t>Commercial (offices, shops, schools)</t>
  </si>
  <si>
    <t>Fluorescent (triphosphor)</t>
  </si>
  <si>
    <t>Low</t>
  </si>
  <si>
    <t>CIBSE Guide F Table 9.1</t>
  </si>
  <si>
    <t>Accommodation</t>
  </si>
  <si>
    <t>Medium</t>
  </si>
  <si>
    <t>Catering</t>
  </si>
  <si>
    <t>High</t>
  </si>
  <si>
    <t>Classroom/training</t>
  </si>
  <si>
    <t>Compact Fluorescent</t>
  </si>
  <si>
    <t>Medical centre</t>
  </si>
  <si>
    <t>Metal halide</t>
  </si>
  <si>
    <t>Sports/Pool</t>
  </si>
  <si>
    <t>Workshop</t>
  </si>
  <si>
    <t>EST Lighting Guide - The Right Light (see "LED Power Calculations" tab)</t>
  </si>
  <si>
    <t>Assumed percentage circulation (100lx)</t>
  </si>
  <si>
    <t>Industrial and Manufacturing</t>
  </si>
  <si>
    <t>Maximum</t>
  </si>
  <si>
    <t>Info from Bristol Hospital lighting survey</t>
  </si>
  <si>
    <t>W/m2 (current)</t>
  </si>
  <si>
    <t>Lux (current)</t>
  </si>
  <si>
    <t>W/m2 (LED)</t>
  </si>
  <si>
    <t>Lux (LED)</t>
  </si>
  <si>
    <t>Hours use</t>
  </si>
  <si>
    <t>Childrens Hospital</t>
  </si>
  <si>
    <t>Education Centre</t>
  </si>
  <si>
    <t>Bristol Trust HQ</t>
  </si>
  <si>
    <t>High Pressure Sodium</t>
  </si>
  <si>
    <t>CIBSE SLL LGO1 Lighting guide Table 2.2</t>
  </si>
  <si>
    <t>Bristol Royal Infirmary (including Queens Building &amp; King Edward)</t>
  </si>
  <si>
    <t>Haematology &amp; Oncology</t>
  </si>
  <si>
    <t>Eye &amp; Chapter</t>
  </si>
  <si>
    <t>Heart Institute inc Sterile &amp; Dermatology</t>
  </si>
  <si>
    <t>St Michaels Hospital</t>
  </si>
  <si>
    <t>Info from Healthcare lighting levels guide</t>
  </si>
  <si>
    <t>Area, unit or department</t>
  </si>
  <si>
    <t>Service illuminance (lux)</t>
  </si>
  <si>
    <t>Accident and emergency</t>
  </si>
  <si>
    <t xml:space="preserve">   Reception</t>
  </si>
  <si>
    <t xml:space="preserve">   General examination areas</t>
  </si>
  <si>
    <t>Circulation/communal areas</t>
  </si>
  <si>
    <t>150-300</t>
  </si>
  <si>
    <t>Dentistry</t>
  </si>
  <si>
    <t>General treatment areas</t>
  </si>
  <si>
    <t xml:space="preserve">   Autopsy rooms and mortuaries</t>
  </si>
  <si>
    <t xml:space="preserve">   Consultation/examination rooms</t>
  </si>
  <si>
    <t>Nurse stations</t>
  </si>
  <si>
    <t>Operating theatres</t>
  </si>
  <si>
    <t>300-500</t>
  </si>
  <si>
    <t>Outpatients</t>
  </si>
  <si>
    <t>Wards and bedded areas</t>
  </si>
  <si>
    <t>Maternity</t>
  </si>
  <si>
    <t>Bulb Type</t>
  </si>
  <si>
    <t>Typical Lumen</t>
  </si>
  <si>
    <t>Typical Cost / Unit</t>
  </si>
  <si>
    <t>Cost £/m2</t>
  </si>
  <si>
    <t>https://www.lyco.co.uk/crompton-9w-warm-white-led-t8-full-glass-tube-2ft.html</t>
  </si>
  <si>
    <t>https://www.lyco.co.uk/osram-t8-s-a-d-fluorescent-tube-36w.html</t>
  </si>
  <si>
    <t>https://www.lyco.co.uk/osram-t8-s-a-d-fluorescent-tube-58w.html</t>
  </si>
  <si>
    <t>https://www.lyco.co.uk/philips-70w-white-master-tl-d-super-80-t8-fluorescent-tube-6ft.html</t>
  </si>
  <si>
    <t>https://www.lyco.co.uk/9w-2-pin-biax-s-g23-cool-white.html</t>
  </si>
  <si>
    <t>https://www.lyco.co.uk/18w-4-pin-biax-de-g24q-2-white.html</t>
  </si>
  <si>
    <t>https://www.lyco.co.uk/42w-4-pin-biax-te-gx24q-4-white.html</t>
  </si>
  <si>
    <t>https://www.lyco.co.uk/philips-master-57w-4-pin-pl-t-gx24q-5-dimmable.html</t>
  </si>
  <si>
    <t>https://uk.rs-online.com/web/p/metal-halide-lamps/7863252/</t>
  </si>
  <si>
    <t>https://uk.rs-online.com/web/p/son-lamps/3818517/</t>
  </si>
  <si>
    <t>https://uk.rs-online.com/web/p/metal-halide-lamps/6997222/</t>
  </si>
  <si>
    <t>https://uk.rs-online.com/web/p/metal-halide-lamps/7899927/</t>
  </si>
  <si>
    <t>https://www.bltdirect.com/son-t-plus-tubular-external-ignitor-50-watt-es</t>
  </si>
  <si>
    <t>https://www.bltdirect.com/son-t-plus-tubular-external-ignitor-100-watt-ges</t>
  </si>
  <si>
    <t>https://www.bltdirect.com/son-t-plus-tubular-external-ignitor-400-watt-ges-1</t>
  </si>
  <si>
    <t>https://www.bltdirect.com/son-t-tubular-external-ignitor-1000-watt-ges</t>
  </si>
  <si>
    <t>Table C.5: Mean electrical energy intensity by energy end use category and community, arts &amp; leisure sub-sector, 2014—15</t>
  </si>
  <si>
    <t>Years: 2014 to 2015</t>
  </si>
  <si>
    <t>Coverage: England and Wales</t>
  </si>
  <si>
    <t>Use Category</t>
  </si>
  <si>
    <t>Cafes</t>
  </si>
  <si>
    <t>Clubs &amp; Community centres</t>
  </si>
  <si>
    <t>Cold stores</t>
  </si>
  <si>
    <t>Fire/ambulance services</t>
  </si>
  <si>
    <t>Hairdressers &amp; beauty salons</t>
  </si>
  <si>
    <t>Health centres</t>
  </si>
  <si>
    <t>Higher education - residential</t>
  </si>
  <si>
    <t>Higher education – teaching &amp; research</t>
  </si>
  <si>
    <t>Hospitals</t>
  </si>
  <si>
    <t>Hotels</t>
  </si>
  <si>
    <t>Large distribution warehouses</t>
  </si>
  <si>
    <t>Large food shops</t>
  </si>
  <si>
    <t>Large non-food shops</t>
  </si>
  <si>
    <t>Law courts</t>
  </si>
  <si>
    <t>Leisure centres</t>
  </si>
  <si>
    <t>Military accommodation</t>
  </si>
  <si>
    <t>Military offices</t>
  </si>
  <si>
    <t>Military storage</t>
  </si>
  <si>
    <t>Museums</t>
  </si>
  <si>
    <t>Nurseries</t>
  </si>
  <si>
    <t>Nursing homes</t>
  </si>
  <si>
    <t>Offices (private)</t>
  </si>
  <si>
    <t>Offices (public)</t>
  </si>
  <si>
    <t>Places of worship</t>
  </si>
  <si>
    <t>Police stations</t>
  </si>
  <si>
    <t>Prisons</t>
  </si>
  <si>
    <t>Pubs</t>
  </si>
  <si>
    <t>Restaurants &amp; takeaways</t>
  </si>
  <si>
    <t>Retail warehouses</t>
  </si>
  <si>
    <t>Showrooms</t>
  </si>
  <si>
    <t>Small shops</t>
  </si>
  <si>
    <t>State Primary schools</t>
  </si>
  <si>
    <t>State Secondary schools</t>
  </si>
  <si>
    <t>Stores</t>
  </si>
  <si>
    <t>Theatres</t>
  </si>
  <si>
    <t>Warehouses</t>
  </si>
  <si>
    <t>Workshops</t>
  </si>
  <si>
    <r>
      <t>All sub-sectors (kWh/m</t>
    </r>
    <r>
      <rPr>
        <vertAlign val="superscript"/>
        <sz val="12"/>
        <color theme="1"/>
        <rFont val="Arial"/>
        <family val="2"/>
      </rPr>
      <t>2</t>
    </r>
    <r>
      <rPr>
        <sz val="12"/>
        <color theme="1"/>
        <rFont val="Arial"/>
        <family val="2"/>
      </rPr>
      <t>/year)</t>
    </r>
  </si>
  <si>
    <t xml:space="preserve">Display </t>
  </si>
  <si>
    <t>-</t>
  </si>
  <si>
    <t xml:space="preserve">                 -</t>
  </si>
  <si>
    <t>External   </t>
  </si>
  <si>
    <t xml:space="preserve">Internal  </t>
  </si>
  <si>
    <t>Abatement Potential %</t>
  </si>
  <si>
    <t>Abatement Cost (£/kWh)</t>
  </si>
  <si>
    <t>Assumed lowest benefits from table 1</t>
  </si>
  <si>
    <t>Lifetime from CIBSE Guide M (p.12-21)</t>
  </si>
  <si>
    <t>Break room</t>
  </si>
  <si>
    <t>Classroom</t>
  </si>
  <si>
    <t>Conference Room</t>
  </si>
  <si>
    <t>Office</t>
  </si>
  <si>
    <t>Restroom</t>
  </si>
  <si>
    <t>Saving</t>
  </si>
  <si>
    <t>Cost (£/m2)</t>
  </si>
  <si>
    <t>Equivalent bulb power from EST Lighting Guide - the right light</t>
  </si>
  <si>
    <t>Bulb Power</t>
  </si>
  <si>
    <t>These calculations used to populate table on 'Lighting Power Density' tab</t>
  </si>
  <si>
    <t>Lumen</t>
  </si>
  <si>
    <t>Incandescent</t>
  </si>
  <si>
    <t>Halogen</t>
  </si>
  <si>
    <t>CFL</t>
  </si>
  <si>
    <t>Bulbs / m2</t>
  </si>
  <si>
    <t>LED W/m2</t>
  </si>
  <si>
    <t>Lux</t>
  </si>
  <si>
    <t>Hours</t>
  </si>
  <si>
    <t>Days</t>
  </si>
  <si>
    <t>Choice</t>
  </si>
  <si>
    <t>BEES Use Category</t>
  </si>
  <si>
    <t>SiteType</t>
  </si>
  <si>
    <t>Yes</t>
  </si>
  <si>
    <t>No</t>
  </si>
  <si>
    <t>6) Select current lamp type. Note that High Pressure Sodium is not available for "Commercial" and Compact Fluorescent is not available for "Industrial" area use category (as a baseline examples did not exist for these scenarios)</t>
  </si>
  <si>
    <t>Use the BEES calculation as a comparison on current energy use and ROI. Note that BEES surveys were completed several years ago and are unlikely to have included significant LED use. This means that both energy savings and costs from BEES are likely to be lower than those shown through LED replacement.</t>
  </si>
  <si>
    <t>Lighting intervention estimator</t>
  </si>
  <si>
    <t xml:space="preserve">Feasibility and design: </t>
  </si>
  <si>
    <t>Feasibility and design:</t>
  </si>
  <si>
    <t>This tool can be used standalone or as part of the Public Sector Decarbonisation Guidance feasibility and design process to assess the impact of installing LEDs on a given site's energy usage. It provides an estimation of the financial cost as well as the energy and cost savings to upgrade a site's lighting.</t>
  </si>
  <si>
    <t>1) Select site organisation type from drop-down menu. Categories have been defined based on their energy use and relative site size: 
      • Low-density (applicable to sites within a rural setting that are less constrained - costs based off our MOD references); 
      • Standard (applicable to majority of sites within an urban setting and varying complexity - costs based off our NHS references); or 
      • High-security (applicable to sites where additional security measures are required, e.g. prisons - costs based off our MOJ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</si>
</sst>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_-* #,##0_-;\-* #,##0_-;_-* &quot;-&quot;??_-;_-@_-"/>
    <numFmt numFmtId="166" formatCode="&quot;£&quot;#,##0"/>
    <numFmt numFmtId="167" formatCode="0.000"/>
    <numFmt numFmtId="168" formatCode="&quot;£&quot;#,##0.00"/>
    <numFmt numFmtId="169" formatCode="&quot;£&quot;#,##0.000"/>
    <numFmt numFmtId="170" formatCode="_-* #,##0.0_-;\-* #,##0.0_-;_-* &quot;-&quot;??_-;_-@_-"/>
    <numFmt numFmtId="171" formatCode="#,##0;[Red]\-#,##0;&quot;&quot;;&quot;&quot;"/>
    <numFmt numFmtId="172" formatCode="&quot;£&quot;#,##0;[Red]\-&quot;£&quot;#,##0;&quot;&quot;;&quot;&quot;"/>
    <numFmt numFmtId="173" formatCode="#,##0.0;[Red]\-#,##0.0;&quot;&quot;;&quot;&quot;"/>
    <numFmt numFmtId="174" formatCode="#,##0.00;[Red]\-#,##0.00;&quot;&quot;;&quot;&quot;"/>
  </numFmts>
  <fonts count="3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b/>
      <sz val="16"/>
      <color theme="1"/>
      <name val="Calibri"/>
      <family val="2"/>
      <scheme val="minor"/>
    </font>
    <font>
      <sz val="8"/>
      <name val="Calibri"/>
      <family val="2"/>
      <scheme val="minor"/>
    </font>
    <font>
      <sz val="9"/>
      <color indexed="81"/>
      <name val="Tahoma"/>
      <family val="2"/>
    </font>
    <font>
      <b/>
      <sz val="9"/>
      <color indexed="81"/>
      <name val="Tahoma"/>
      <family val="2"/>
    </font>
    <font>
      <b/>
      <sz val="14"/>
      <color theme="1"/>
      <name val="Calibri"/>
      <family val="2"/>
      <scheme val="minor"/>
    </font>
    <font>
      <u/>
      <sz val="12"/>
      <color theme="10"/>
      <name val="Arial"/>
      <family val="2"/>
    </font>
    <font>
      <sz val="12"/>
      <name val="Arial"/>
      <family val="2"/>
    </font>
    <font>
      <b/>
      <sz val="12"/>
      <name val="Arial"/>
      <family val="2"/>
    </font>
    <font>
      <sz val="12"/>
      <color theme="1"/>
      <name val="Arial"/>
      <family val="2"/>
    </font>
    <font>
      <b/>
      <sz val="12"/>
      <color theme="1"/>
      <name val="Arial"/>
      <family val="2"/>
    </font>
    <font>
      <i/>
      <sz val="10"/>
      <color theme="1"/>
      <name val="Arial"/>
      <family val="2"/>
    </font>
    <font>
      <vertAlign val="superscript"/>
      <sz val="12"/>
      <color theme="1"/>
      <name val="Arial"/>
      <family val="2"/>
    </font>
    <font>
      <b/>
      <sz val="11"/>
      <color rgb="FFFF0000"/>
      <name val="Calibri"/>
      <family val="2"/>
      <scheme val="minor"/>
    </font>
    <font>
      <i/>
      <sz val="11"/>
      <color theme="1"/>
      <name val="Calibri"/>
      <family val="2"/>
      <scheme val="minor"/>
    </font>
    <font>
      <vertAlign val="superscrip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i/>
      <sz val="11"/>
      <color theme="0" tint="-0.499984740745262"/>
      <name val="Calibri"/>
      <family val="2"/>
      <scheme val="minor"/>
    </font>
    <font>
      <b/>
      <sz val="12"/>
      <color theme="1"/>
      <name val="Calibri"/>
      <family val="2"/>
      <scheme val="minor"/>
    </font>
    <font>
      <b/>
      <vertAlign val="subscript"/>
      <sz val="11"/>
      <color theme="1"/>
      <name val="Calibri"/>
      <family val="2"/>
      <scheme val="minor"/>
    </font>
    <font>
      <b/>
      <vertAlign val="subscript"/>
      <sz val="11"/>
      <color theme="0"/>
      <name val="Calibri"/>
      <family val="2"/>
      <scheme val="minor"/>
    </font>
    <font>
      <sz val="11"/>
      <color theme="1"/>
      <name val="Segoe UI"/>
      <family val="2"/>
    </font>
    <font>
      <b/>
      <sz val="16"/>
      <color theme="1"/>
      <name val="Segoe UI"/>
      <family val="2"/>
    </font>
    <font>
      <sz val="11"/>
      <color rgb="FFFF0000"/>
      <name val="Segoe UI"/>
      <family val="2"/>
    </font>
    <font>
      <sz val="11"/>
      <name val="Segoe UI"/>
      <family val="2"/>
    </font>
    <font>
      <vertAlign val="superscript"/>
      <sz val="11"/>
      <name val="Segoe UI"/>
      <family val="2"/>
    </font>
    <font>
      <b/>
      <i/>
      <sz val="11"/>
      <color theme="1"/>
      <name val="Segoe UI"/>
      <family val="2"/>
    </font>
    <font>
      <b/>
      <sz val="11"/>
      <color theme="0"/>
      <name val="Segoe UI"/>
      <family val="2"/>
    </font>
    <font>
      <i/>
      <sz val="11"/>
      <color theme="1"/>
      <name val="Segoe UI"/>
      <family val="2"/>
    </font>
    <font>
      <b/>
      <i/>
      <sz val="11"/>
      <color theme="0"/>
      <name val="Segoe UI"/>
      <family val="2"/>
    </font>
    <font>
      <b/>
      <sz val="20"/>
      <color theme="1"/>
      <name val="Segoe UI"/>
      <family val="2"/>
    </font>
    <font>
      <b/>
      <sz val="11"/>
      <color theme="1"/>
      <name val="Segoe UI"/>
      <family val="2"/>
    </font>
  </fonts>
  <fills count="10">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005ABB"/>
        <bgColor indexed="64"/>
      </patternFill>
    </fill>
    <fill>
      <patternFill patternType="solid">
        <fgColor theme="0" tint="-4.9989318521683403E-2"/>
        <bgColor indexed="64"/>
      </patternFill>
    </fill>
    <fill>
      <patternFill patternType="solid">
        <fgColor rgb="FFFCE4D6"/>
        <bgColor indexed="64"/>
      </patternFill>
    </fill>
    <fill>
      <patternFill patternType="solid">
        <fgColor rgb="FFDDEBF7"/>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9">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1"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158">
    <xf numFmtId="0" fontId="0" fillId="0" borderId="0" xfId="0"/>
    <xf numFmtId="2" fontId="0" fillId="0" borderId="0" xfId="0" applyNumberFormat="1"/>
    <xf numFmtId="164" fontId="0" fillId="0" borderId="0" xfId="0" applyNumberFormat="1"/>
    <xf numFmtId="0" fontId="3" fillId="0" borderId="0" xfId="2"/>
    <xf numFmtId="0" fontId="2" fillId="0" borderId="0" xfId="0" applyFont="1"/>
    <xf numFmtId="0" fontId="2" fillId="3" borderId="0" xfId="0" applyFont="1" applyFill="1" applyAlignment="1">
      <alignment wrapText="1"/>
    </xf>
    <xf numFmtId="165" fontId="0" fillId="0" borderId="0" xfId="1" applyNumberFormat="1" applyFont="1"/>
    <xf numFmtId="168" fontId="0" fillId="0" borderId="0" xfId="0" applyNumberFormat="1"/>
    <xf numFmtId="0" fontId="9" fillId="0" borderId="0" xfId="0" applyFont="1"/>
    <xf numFmtId="0" fontId="0" fillId="0" borderId="0" xfId="0" applyAlignment="1">
      <alignment wrapText="1"/>
    </xf>
    <xf numFmtId="0" fontId="12" fillId="0" borderId="0" xfId="4" applyFont="1"/>
    <xf numFmtId="0" fontId="13" fillId="0" borderId="0" xfId="0" applyFont="1"/>
    <xf numFmtId="41" fontId="13" fillId="0" borderId="0" xfId="1" applyNumberFormat="1" applyFont="1" applyBorder="1" applyAlignment="1">
      <alignment horizontal="right"/>
    </xf>
    <xf numFmtId="1" fontId="13" fillId="0" borderId="0" xfId="1" applyNumberFormat="1" applyFont="1" applyBorder="1" applyAlignment="1">
      <alignment horizontal="right"/>
    </xf>
    <xf numFmtId="0" fontId="15" fillId="0" borderId="0" xfId="0" applyFont="1" applyAlignment="1">
      <alignment horizontal="right" vertical="center"/>
    </xf>
    <xf numFmtId="167" fontId="13" fillId="0" borderId="0" xfId="0" applyNumberFormat="1" applyFont="1"/>
    <xf numFmtId="167" fontId="0" fillId="0" borderId="0" xfId="0" applyNumberFormat="1"/>
    <xf numFmtId="0" fontId="17" fillId="0" borderId="0" xfId="0" applyFont="1"/>
    <xf numFmtId="0" fontId="0" fillId="0" borderId="0" xfId="0" applyAlignment="1">
      <alignment vertical="center"/>
    </xf>
    <xf numFmtId="0" fontId="18" fillId="0" borderId="0" xfId="0" applyFont="1"/>
    <xf numFmtId="164" fontId="18" fillId="0" borderId="0" xfId="0" applyNumberFormat="1" applyFont="1"/>
    <xf numFmtId="164" fontId="0" fillId="0" borderId="0" xfId="0" applyNumberFormat="1" applyAlignment="1">
      <alignment horizontal="right"/>
    </xf>
    <xf numFmtId="0" fontId="0" fillId="0" borderId="0" xfId="0" applyAlignment="1">
      <alignment horizontal="right"/>
    </xf>
    <xf numFmtId="164" fontId="0" fillId="0" borderId="1" xfId="0" applyNumberFormat="1" applyBorder="1"/>
    <xf numFmtId="14" fontId="0" fillId="0" borderId="1" xfId="0" applyNumberFormat="1" applyBorder="1"/>
    <xf numFmtId="0" fontId="0" fillId="0" borderId="1" xfId="0" applyBorder="1"/>
    <xf numFmtId="0" fontId="0" fillId="0" borderId="1" xfId="0" applyBorder="1" applyAlignment="1">
      <alignment wrapText="1"/>
    </xf>
    <xf numFmtId="2" fontId="0" fillId="0" borderId="1" xfId="0" applyNumberFormat="1" applyBorder="1"/>
    <xf numFmtId="0" fontId="20" fillId="5" borderId="1" xfId="0" applyFont="1" applyFill="1" applyBorder="1" applyAlignment="1">
      <alignment horizontal="left" vertical="center" wrapText="1"/>
    </xf>
    <xf numFmtId="0" fontId="9" fillId="0" borderId="0" xfId="0" applyFont="1" applyAlignment="1">
      <alignment horizontal="left" vertical="top"/>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7" borderId="2" xfId="0" applyFill="1" applyBorder="1" applyProtection="1">
      <protection locked="0"/>
    </xf>
    <xf numFmtId="0" fontId="0" fillId="2" borderId="1" xfId="0" applyFill="1" applyBorder="1" applyAlignment="1" applyProtection="1">
      <alignment horizontal="center"/>
      <protection locked="0"/>
    </xf>
    <xf numFmtId="9" fontId="0" fillId="2" borderId="2" xfId="6" applyFont="1" applyFill="1" applyBorder="1" applyAlignment="1" applyProtection="1">
      <alignment horizontal="center"/>
      <protection locked="0"/>
    </xf>
    <xf numFmtId="9" fontId="0" fillId="2" borderId="3" xfId="6" applyFont="1" applyFill="1" applyBorder="1" applyAlignment="1" applyProtection="1">
      <alignment horizontal="center"/>
      <protection locked="0"/>
    </xf>
    <xf numFmtId="169" fontId="0" fillId="2" borderId="3" xfId="0" applyNumberFormat="1" applyFill="1" applyBorder="1" applyAlignment="1" applyProtection="1">
      <alignment horizontal="center"/>
      <protection locked="0"/>
    </xf>
    <xf numFmtId="9" fontId="0" fillId="2" borderId="4" xfId="6" applyFont="1" applyFill="1" applyBorder="1" applyAlignment="1" applyProtection="1">
      <alignment horizontal="center"/>
      <protection locked="0"/>
    </xf>
    <xf numFmtId="9" fontId="0" fillId="2" borderId="4" xfId="0" applyNumberFormat="1" applyFill="1" applyBorder="1" applyProtection="1">
      <protection locked="0"/>
    </xf>
    <xf numFmtId="0" fontId="22" fillId="7" borderId="1" xfId="0" applyFont="1" applyFill="1" applyBorder="1" applyAlignment="1" applyProtection="1">
      <alignment horizontal="left" vertical="center" wrapText="1"/>
      <protection locked="0"/>
    </xf>
    <xf numFmtId="0" fontId="14" fillId="0" borderId="0" xfId="0" applyFont="1" applyAlignment="1">
      <alignment vertical="top" wrapText="1"/>
    </xf>
    <xf numFmtId="0" fontId="14" fillId="0" borderId="0" xfId="0" applyFont="1" applyAlignment="1">
      <alignment horizontal="right" vertical="top" wrapText="1"/>
    </xf>
    <xf numFmtId="0" fontId="0" fillId="0" borderId="0" xfId="0" applyAlignment="1">
      <alignment vertical="top" wrapText="1"/>
    </xf>
    <xf numFmtId="0" fontId="0" fillId="0" borderId="0" xfId="0" applyProtection="1">
      <protection hidden="1"/>
    </xf>
    <xf numFmtId="165" fontId="0" fillId="8" borderId="2" xfId="1" applyNumberFormat="1" applyFont="1" applyFill="1" applyBorder="1" applyProtection="1">
      <protection hidden="1"/>
    </xf>
    <xf numFmtId="170" fontId="0" fillId="8" borderId="2" xfId="0" applyNumberFormat="1" applyFill="1" applyBorder="1" applyProtection="1">
      <protection hidden="1"/>
    </xf>
    <xf numFmtId="20" fontId="0" fillId="8" borderId="2" xfId="0" applyNumberFormat="1" applyFill="1" applyBorder="1" applyProtection="1">
      <protection hidden="1"/>
    </xf>
    <xf numFmtId="165" fontId="0" fillId="8" borderId="3" xfId="1" applyNumberFormat="1" applyFont="1" applyFill="1" applyBorder="1" applyProtection="1">
      <protection hidden="1"/>
    </xf>
    <xf numFmtId="170" fontId="0" fillId="8" borderId="3" xfId="0" applyNumberFormat="1" applyFill="1" applyBorder="1" applyProtection="1">
      <protection hidden="1"/>
    </xf>
    <xf numFmtId="20" fontId="0" fillId="8" borderId="3" xfId="0" applyNumberFormat="1" applyFill="1" applyBorder="1" applyProtection="1">
      <protection hidden="1"/>
    </xf>
    <xf numFmtId="165" fontId="0" fillId="8" borderId="4" xfId="1" applyNumberFormat="1" applyFont="1" applyFill="1" applyBorder="1" applyProtection="1">
      <protection hidden="1"/>
    </xf>
    <xf numFmtId="170" fontId="0" fillId="8" borderId="4" xfId="0" applyNumberFormat="1" applyFill="1" applyBorder="1" applyProtection="1">
      <protection hidden="1"/>
    </xf>
    <xf numFmtId="20" fontId="0" fillId="8" borderId="4" xfId="0" applyNumberFormat="1" applyFill="1" applyBorder="1" applyProtection="1">
      <protection hidden="1"/>
    </xf>
    <xf numFmtId="171" fontId="0" fillId="8" borderId="2" xfId="0" applyNumberFormat="1" applyFill="1" applyBorder="1" applyProtection="1">
      <protection hidden="1"/>
    </xf>
    <xf numFmtId="172" fontId="0" fillId="8" borderId="2" xfId="0" applyNumberFormat="1" applyFill="1" applyBorder="1" applyProtection="1">
      <protection hidden="1"/>
    </xf>
    <xf numFmtId="172" fontId="0" fillId="8" borderId="2" xfId="1" applyNumberFormat="1" applyFont="1" applyFill="1" applyBorder="1" applyProtection="1">
      <protection hidden="1"/>
    </xf>
    <xf numFmtId="173" fontId="0" fillId="8" borderId="2" xfId="0" applyNumberFormat="1" applyFill="1" applyBorder="1" applyProtection="1">
      <protection hidden="1"/>
    </xf>
    <xf numFmtId="171" fontId="0" fillId="8" borderId="3" xfId="0" applyNumberFormat="1" applyFill="1" applyBorder="1" applyProtection="1">
      <protection hidden="1"/>
    </xf>
    <xf numFmtId="172" fontId="0" fillId="8" borderId="3" xfId="0" applyNumberFormat="1" applyFill="1" applyBorder="1" applyProtection="1">
      <protection hidden="1"/>
    </xf>
    <xf numFmtId="172" fontId="0" fillId="8" borderId="3" xfId="1" applyNumberFormat="1" applyFont="1" applyFill="1" applyBorder="1" applyProtection="1">
      <protection hidden="1"/>
    </xf>
    <xf numFmtId="173" fontId="0" fillId="8" borderId="3" xfId="0" applyNumberFormat="1" applyFill="1" applyBorder="1" applyProtection="1">
      <protection hidden="1"/>
    </xf>
    <xf numFmtId="171" fontId="0" fillId="8" borderId="4" xfId="0" applyNumberFormat="1" applyFill="1" applyBorder="1" applyProtection="1">
      <protection hidden="1"/>
    </xf>
    <xf numFmtId="172" fontId="0" fillId="8" borderId="4" xfId="0" applyNumberFormat="1" applyFill="1" applyBorder="1" applyProtection="1">
      <protection hidden="1"/>
    </xf>
    <xf numFmtId="172" fontId="0" fillId="8" borderId="4" xfId="1" applyNumberFormat="1" applyFont="1" applyFill="1" applyBorder="1" applyProtection="1">
      <protection hidden="1"/>
    </xf>
    <xf numFmtId="173" fontId="0" fillId="8" borderId="4" xfId="0" applyNumberFormat="1" applyFill="1" applyBorder="1" applyProtection="1">
      <protection hidden="1"/>
    </xf>
    <xf numFmtId="171" fontId="0" fillId="6" borderId="2" xfId="0" applyNumberFormat="1" applyFill="1" applyBorder="1" applyProtection="1">
      <protection hidden="1"/>
    </xf>
    <xf numFmtId="172" fontId="0" fillId="6" borderId="2" xfId="0" applyNumberFormat="1" applyFill="1" applyBorder="1" applyProtection="1">
      <protection hidden="1"/>
    </xf>
    <xf numFmtId="171" fontId="0" fillId="6" borderId="3" xfId="0" applyNumberFormat="1" applyFill="1" applyBorder="1" applyProtection="1">
      <protection hidden="1"/>
    </xf>
    <xf numFmtId="172" fontId="0" fillId="6" borderId="3" xfId="0" applyNumberFormat="1" applyFill="1" applyBorder="1" applyProtection="1">
      <protection hidden="1"/>
    </xf>
    <xf numFmtId="171" fontId="0" fillId="6" borderId="4" xfId="0" applyNumberFormat="1" applyFill="1" applyBorder="1" applyProtection="1">
      <protection hidden="1"/>
    </xf>
    <xf numFmtId="172" fontId="0" fillId="6" borderId="4" xfId="0" applyNumberFormat="1" applyFill="1" applyBorder="1" applyProtection="1">
      <protection hidden="1"/>
    </xf>
    <xf numFmtId="165" fontId="24" fillId="8" borderId="0" xfId="0" applyNumberFormat="1" applyFont="1" applyFill="1" applyProtection="1">
      <protection hidden="1"/>
    </xf>
    <xf numFmtId="166" fontId="24" fillId="8" borderId="0" xfId="0" applyNumberFormat="1" applyFont="1" applyFill="1" applyProtection="1">
      <protection hidden="1"/>
    </xf>
    <xf numFmtId="165" fontId="24" fillId="6" borderId="0" xfId="1" applyNumberFormat="1" applyFont="1" applyFill="1" applyProtection="1">
      <protection hidden="1"/>
    </xf>
    <xf numFmtId="166" fontId="24" fillId="6" borderId="0" xfId="0" applyNumberFormat="1" applyFont="1" applyFill="1" applyProtection="1">
      <protection hidden="1"/>
    </xf>
    <xf numFmtId="174" fontId="0" fillId="8" borderId="2" xfId="0" applyNumberFormat="1" applyFill="1" applyBorder="1" applyProtection="1">
      <protection hidden="1"/>
    </xf>
    <xf numFmtId="0" fontId="0" fillId="7" borderId="10" xfId="0" applyFill="1" applyBorder="1" applyProtection="1">
      <protection locked="0"/>
    </xf>
    <xf numFmtId="0" fontId="0" fillId="2" borderId="10" xfId="0" applyFill="1" applyBorder="1" applyProtection="1">
      <protection locked="0"/>
    </xf>
    <xf numFmtId="0" fontId="0" fillId="2" borderId="10" xfId="0" applyFill="1" applyBorder="1" applyAlignment="1" applyProtection="1">
      <alignment horizontal="center"/>
      <protection locked="0"/>
    </xf>
    <xf numFmtId="174" fontId="0" fillId="8" borderId="10" xfId="0" applyNumberFormat="1" applyFill="1" applyBorder="1" applyProtection="1">
      <protection hidden="1"/>
    </xf>
    <xf numFmtId="171" fontId="0" fillId="8" borderId="10" xfId="0" applyNumberFormat="1" applyFill="1" applyBorder="1" applyProtection="1">
      <protection hidden="1"/>
    </xf>
    <xf numFmtId="172" fontId="0" fillId="8" borderId="10" xfId="0" applyNumberFormat="1" applyFill="1" applyBorder="1" applyProtection="1">
      <protection hidden="1"/>
    </xf>
    <xf numFmtId="173" fontId="0" fillId="8" borderId="10" xfId="0" applyNumberFormat="1" applyFill="1" applyBorder="1" applyProtection="1">
      <protection hidden="1"/>
    </xf>
    <xf numFmtId="0" fontId="0" fillId="7" borderId="3" xfId="0" applyFill="1" applyBorder="1" applyProtection="1">
      <protection locked="0"/>
    </xf>
    <xf numFmtId="0" fontId="0" fillId="2" borderId="3" xfId="0" applyFill="1" applyBorder="1" applyAlignment="1" applyProtection="1">
      <alignment horizontal="center"/>
      <protection locked="0"/>
    </xf>
    <xf numFmtId="174" fontId="0" fillId="8" borderId="3" xfId="0" applyNumberFormat="1" applyFill="1" applyBorder="1" applyProtection="1">
      <protection hidden="1"/>
    </xf>
    <xf numFmtId="0" fontId="0" fillId="7" borderId="4" xfId="0" applyFill="1" applyBorder="1" applyProtection="1">
      <protection locked="0"/>
    </xf>
    <xf numFmtId="174" fontId="0" fillId="8" borderId="4" xfId="0" applyNumberFormat="1" applyFill="1" applyBorder="1" applyProtection="1">
      <protection hidden="1"/>
    </xf>
    <xf numFmtId="168" fontId="0" fillId="7" borderId="10" xfId="0" applyNumberFormat="1" applyFill="1" applyBorder="1" applyAlignment="1" applyProtection="1">
      <alignment horizontal="center"/>
      <protection locked="0"/>
    </xf>
    <xf numFmtId="165" fontId="24" fillId="8" borderId="0" xfId="1" applyNumberFormat="1" applyFont="1" applyFill="1" applyProtection="1">
      <protection hidden="1"/>
    </xf>
    <xf numFmtId="1" fontId="24" fillId="6" borderId="0" xfId="0" applyNumberFormat="1" applyFont="1" applyFill="1" applyProtection="1">
      <protection hidden="1"/>
    </xf>
    <xf numFmtId="173" fontId="0" fillId="6" borderId="2" xfId="0" applyNumberFormat="1" applyFill="1" applyBorder="1" applyProtection="1">
      <protection hidden="1"/>
    </xf>
    <xf numFmtId="173" fontId="0" fillId="6" borderId="3" xfId="0" applyNumberFormat="1" applyFill="1" applyBorder="1" applyProtection="1">
      <protection hidden="1"/>
    </xf>
    <xf numFmtId="173" fontId="0" fillId="6" borderId="4" xfId="0" applyNumberFormat="1" applyFill="1" applyBorder="1" applyProtection="1">
      <protection hidden="1"/>
    </xf>
    <xf numFmtId="0" fontId="0" fillId="0" borderId="1" xfId="0" applyBorder="1" applyProtection="1">
      <protection locked="0"/>
    </xf>
    <xf numFmtId="0" fontId="0" fillId="0" borderId="1" xfId="0" applyBorder="1" applyAlignment="1" applyProtection="1">
      <alignment wrapText="1"/>
      <protection locked="0"/>
    </xf>
    <xf numFmtId="0" fontId="0" fillId="6" borderId="2" xfId="0" applyFill="1" applyBorder="1"/>
    <xf numFmtId="0" fontId="0" fillId="6" borderId="3" xfId="0" applyFill="1" applyBorder="1"/>
    <xf numFmtId="0" fontId="0" fillId="6" borderId="4" xfId="0" applyFill="1" applyBorder="1"/>
    <xf numFmtId="9" fontId="0" fillId="0" borderId="0" xfId="0" applyNumberFormat="1"/>
    <xf numFmtId="0" fontId="2" fillId="0" borderId="0" xfId="0" applyFont="1" applyAlignment="1">
      <alignment wrapText="1"/>
    </xf>
    <xf numFmtId="165" fontId="0" fillId="0" borderId="0" xfId="0" applyNumberFormat="1"/>
    <xf numFmtId="0" fontId="2" fillId="6" borderId="1" xfId="0" applyFont="1" applyFill="1" applyBorder="1"/>
    <xf numFmtId="0" fontId="23" fillId="0" borderId="0" xfId="0" applyFont="1"/>
    <xf numFmtId="0" fontId="2" fillId="0" borderId="0" xfId="0" applyFont="1" applyAlignment="1">
      <alignment horizontal="centerContinuous"/>
    </xf>
    <xf numFmtId="0" fontId="20" fillId="5" borderId="1" xfId="0" applyFont="1" applyFill="1" applyBorder="1" applyAlignment="1">
      <alignment horizontal="center" vertical="center" wrapText="1"/>
    </xf>
    <xf numFmtId="0" fontId="20" fillId="5" borderId="8" xfId="0" applyFont="1" applyFill="1" applyBorder="1" applyAlignment="1">
      <alignment horizontal="left" vertical="center" wrapText="1"/>
    </xf>
    <xf numFmtId="0" fontId="20" fillId="5" borderId="6" xfId="0" applyFont="1" applyFill="1" applyBorder="1" applyAlignment="1">
      <alignment horizontal="centerContinuous" vertical="center" wrapText="1"/>
    </xf>
    <xf numFmtId="0" fontId="20" fillId="5" borderId="7" xfId="0" applyFont="1" applyFill="1" applyBorder="1" applyAlignment="1">
      <alignment horizontal="centerContinuous" vertical="center" wrapText="1"/>
    </xf>
    <xf numFmtId="0" fontId="0" fillId="4" borderId="0" xfId="0" applyFill="1"/>
    <xf numFmtId="0" fontId="20" fillId="5" borderId="9" xfId="0" applyFont="1" applyFill="1" applyBorder="1" applyAlignment="1">
      <alignment horizontal="left" vertical="center" wrapText="1"/>
    </xf>
    <xf numFmtId="0" fontId="2" fillId="6" borderId="10" xfId="0" applyFont="1" applyFill="1" applyBorder="1"/>
    <xf numFmtId="0" fontId="22" fillId="6" borderId="2" xfId="0" applyFont="1" applyFill="1" applyBorder="1"/>
    <xf numFmtId="0" fontId="2" fillId="6" borderId="3" xfId="0" applyFont="1" applyFill="1" applyBorder="1"/>
    <xf numFmtId="0" fontId="22" fillId="6" borderId="4" xfId="0" applyFont="1" applyFill="1" applyBorder="1"/>
    <xf numFmtId="0" fontId="2" fillId="6" borderId="2" xfId="0" applyFont="1" applyFill="1" applyBorder="1"/>
    <xf numFmtId="0" fontId="22" fillId="6" borderId="1" xfId="0" applyFont="1" applyFill="1" applyBorder="1"/>
    <xf numFmtId="0" fontId="23" fillId="4" borderId="0" xfId="0" applyFont="1" applyFill="1"/>
    <xf numFmtId="0" fontId="2" fillId="6" borderId="4" xfId="0" applyFont="1" applyFill="1" applyBorder="1"/>
    <xf numFmtId="0" fontId="5" fillId="8" borderId="0" xfId="0" applyFont="1" applyFill="1" applyAlignment="1">
      <alignment horizontal="centerContinuous"/>
    </xf>
    <xf numFmtId="0" fontId="0" fillId="8" borderId="0" xfId="0" applyFill="1" applyAlignment="1">
      <alignment horizontal="centerContinuous"/>
    </xf>
    <xf numFmtId="0" fontId="5" fillId="6" borderId="0" xfId="0" applyFont="1" applyFill="1" applyAlignment="1">
      <alignment horizontal="centerContinuous"/>
    </xf>
    <xf numFmtId="0" fontId="5" fillId="0" borderId="0" xfId="0" applyFont="1"/>
    <xf numFmtId="0" fontId="2" fillId="0" borderId="0" xfId="0" applyFont="1" applyAlignment="1">
      <alignment vertical="center" wrapText="1"/>
    </xf>
    <xf numFmtId="0" fontId="0" fillId="8" borderId="1" xfId="0" applyFill="1" applyBorder="1" applyProtection="1">
      <protection hidden="1"/>
    </xf>
    <xf numFmtId="0" fontId="2" fillId="0" borderId="0" xfId="0" applyFont="1" applyAlignment="1" applyProtection="1">
      <alignment horizontal="center"/>
      <protection hidden="1"/>
    </xf>
    <xf numFmtId="0" fontId="20" fillId="5" borderId="1" xfId="0" applyFont="1" applyFill="1" applyBorder="1" applyAlignment="1" applyProtection="1">
      <alignment horizontal="center" vertical="center" wrapText="1"/>
      <protection hidden="1"/>
    </xf>
    <xf numFmtId="0" fontId="3" fillId="0" borderId="0" xfId="2" applyAlignment="1">
      <alignment horizontal="left"/>
    </xf>
    <xf numFmtId="10"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27" fillId="0" borderId="0" xfId="0" applyFont="1"/>
    <xf numFmtId="0" fontId="27" fillId="0" borderId="0" xfId="0" applyFont="1" applyAlignment="1">
      <alignment wrapText="1"/>
    </xf>
    <xf numFmtId="0" fontId="28" fillId="0" borderId="0" xfId="0" applyFont="1" applyAlignment="1">
      <alignment vertical="center" wrapText="1"/>
    </xf>
    <xf numFmtId="0" fontId="30" fillId="0" borderId="0" xfId="0" applyFont="1" applyAlignment="1">
      <alignment wrapText="1"/>
    </xf>
    <xf numFmtId="0" fontId="29"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wrapText="1"/>
    </xf>
    <xf numFmtId="0" fontId="27" fillId="2" borderId="0" xfId="0" applyFont="1" applyFill="1" applyAlignment="1">
      <alignment wrapText="1"/>
    </xf>
    <xf numFmtId="0" fontId="27" fillId="8" borderId="0" xfId="0" applyFont="1" applyFill="1" applyAlignment="1">
      <alignment wrapText="1"/>
    </xf>
    <xf numFmtId="0" fontId="27" fillId="0" borderId="1" xfId="0" applyFont="1" applyBorder="1" applyAlignment="1">
      <alignment horizontal="left" vertical="top" wrapText="1"/>
    </xf>
    <xf numFmtId="0" fontId="27" fillId="4" borderId="2" xfId="0" applyFont="1" applyFill="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Protection="1">
      <protection hidden="1"/>
    </xf>
    <xf numFmtId="0" fontId="27" fillId="0" borderId="0" xfId="0" applyFont="1" applyAlignment="1" applyProtection="1">
      <alignment wrapText="1"/>
      <protection hidden="1"/>
    </xf>
    <xf numFmtId="0" fontId="27" fillId="4" borderId="0" xfId="0" applyFont="1" applyFill="1" applyProtection="1">
      <protection hidden="1"/>
    </xf>
    <xf numFmtId="0" fontId="27" fillId="0" borderId="0" xfId="0" applyFont="1" applyAlignment="1" applyProtection="1">
      <alignment horizontal="left"/>
      <protection hidden="1"/>
    </xf>
    <xf numFmtId="0" fontId="36" fillId="4" borderId="0" xfId="0" applyFont="1" applyFill="1" applyProtection="1">
      <protection hidden="1"/>
    </xf>
    <xf numFmtId="0" fontId="3" fillId="0" borderId="0" xfId="2" applyAlignment="1" applyProtection="1">
      <alignment horizontal="left" vertical="center" readingOrder="1"/>
      <protection hidden="1"/>
    </xf>
    <xf numFmtId="0" fontId="30" fillId="0" borderId="0" xfId="0" applyFont="1" applyAlignment="1">
      <alignment vertical="center" wrapText="1"/>
    </xf>
    <xf numFmtId="0" fontId="30" fillId="0" borderId="1" xfId="0" applyFont="1" applyBorder="1" applyAlignment="1">
      <alignment horizontal="left" vertical="top" wrapText="1"/>
    </xf>
    <xf numFmtId="0" fontId="0" fillId="0" borderId="0" xfId="0" applyAlignment="1">
      <alignment horizontal="center"/>
    </xf>
    <xf numFmtId="0" fontId="0" fillId="0" borderId="0" xfId="0" applyAlignment="1">
      <alignment horizontal="left"/>
    </xf>
    <xf numFmtId="0" fontId="37" fillId="0" borderId="0" xfId="0" applyFont="1" applyAlignment="1" applyProtection="1">
      <alignment horizontal="left" vertical="center"/>
      <protection hidden="1"/>
    </xf>
    <xf numFmtId="0" fontId="36" fillId="0" borderId="0" xfId="0" applyFont="1" applyProtection="1">
      <protection hidden="1"/>
    </xf>
    <xf numFmtId="0" fontId="33" fillId="9" borderId="5" xfId="0" applyFont="1" applyFill="1" applyBorder="1" applyAlignment="1">
      <alignment vertical="center" wrapText="1"/>
    </xf>
  </cellXfs>
  <cellStyles count="9">
    <cellStyle name="Comma" xfId="1" builtinId="3"/>
    <cellStyle name="Comma 2" xfId="7" xr:uid="{91AA9E37-9E48-4EE0-9762-7D6C47476800}"/>
    <cellStyle name="Hyperlink" xfId="2" builtinId="8"/>
    <cellStyle name="Hyperlink 2" xfId="3" xr:uid="{77716342-9C10-4438-A93C-6ABDC62EDE63}"/>
    <cellStyle name="Hyperlink 2 2" xfId="8" xr:uid="{12581A69-3B7E-4084-BAF2-21F4B77A78D5}"/>
    <cellStyle name="Normal" xfId="0" builtinId="0"/>
    <cellStyle name="Normal 2 6" xfId="5" xr:uid="{A18CF3B3-99A9-4B11-AAE5-8FD579D681EE}"/>
    <cellStyle name="Normal 4 13" xfId="4" xr:uid="{11F849E7-D672-43B0-BDF4-1AA80A3F65F4}"/>
    <cellStyle name="Percent" xfId="6" builtinId="5"/>
  </cellStyles>
  <dxfs count="0"/>
  <tableStyles count="0" defaultTableStyle="TableStyleMedium2" defaultPivotStyle="PivotStyleLight16"/>
  <colors>
    <mruColors>
      <color rgb="FFFCE4D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0</xdr:col>
      <xdr:colOff>165734</xdr:colOff>
      <xdr:row>21</xdr:row>
      <xdr:rowOff>20955</xdr:rowOff>
    </xdr:from>
    <xdr:to>
      <xdr:col>3</xdr:col>
      <xdr:colOff>4086225</xdr:colOff>
      <xdr:row>41</xdr:row>
      <xdr:rowOff>104775</xdr:rowOff>
    </xdr:to>
    <xdr:sp macro="" textlink="">
      <xdr:nvSpPr>
        <xdr:cNvPr id="3" name="Rectangle 2">
          <a:extLst>
            <a:ext uri="{FF2B5EF4-FFF2-40B4-BE49-F238E27FC236}">
              <a16:creationId xmlns:a16="http://schemas.microsoft.com/office/drawing/2014/main" id="{684171AD-67B3-46D8-AB4C-9CA89F180DB5}"/>
            </a:ext>
          </a:extLst>
        </xdr:cNvPr>
        <xdr:cNvSpPr/>
      </xdr:nvSpPr>
      <xdr:spPr>
        <a:xfrm>
          <a:off x="165734" y="4745355"/>
          <a:ext cx="8035291" cy="427482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1" i="0" u="sng" strike="noStrike" kern="1200" cap="none" spc="0" normalizeH="0" baseline="0">
              <a:ln>
                <a:noFill/>
              </a:ln>
              <a:solidFill>
                <a:sysClr val="windowText" lastClr="000000"/>
              </a:solidFill>
              <a:effectLst/>
              <a:uLnTx/>
              <a:uFillTx/>
              <a:latin typeface="Arial" panose="020B0604020202020204"/>
              <a:ea typeface="+mn-ea"/>
              <a:cs typeface="+mn-cs"/>
            </a:rPr>
            <a:t>Licence and disclaimer</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1" i="0" u="sng" strike="noStrike" kern="1200" cap="none" spc="0" normalizeH="0" baseline="0">
            <a:ln>
              <a:noFill/>
            </a:ln>
            <a:solidFill>
              <a:sysClr val="windowText" lastClr="000000"/>
            </a:solidFill>
            <a:effectLst/>
            <a:uLnTx/>
            <a:uFillTx/>
            <a:latin typeface="Arial" panose="020B0604020202020204"/>
            <a:ea typeface="+mn-ea"/>
            <a:cs typeface="+mn-cs"/>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rPr>
            <a:t>This document has been prepared by Energy Systems Catapult Limited (“ESC”) working on behalf of Department for Energy Security and Net Zero ("DESNZ") and Government Property Function (“GPF”).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rPr>
            <a:t>The document and its contents have been prepared in good faith, based upon the information available to ESC at the time of writing and are made available “as is” without any representations, conditions, warranties or other terms of any kind. The ESC and the authors, together with DESNZ, GPF, their employees, directors, servants or agents exclude to the maximum extent permissible by law all representations, warranties, conditions or other terms whatsoever (whether express or implied) regarding the use of this document or its content including any warranties of title, merchantability, accuracy, completeness, non-infringement or that the document or its contents are of satisfactory or any particular quality or fit for any particular purpose. </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rPr>
            <a:t>Any person accessing this document and using it, or any of its contents, is solely responsible for determining the appropriateness of any reliance put on it and assumes all risks in doing so.</a:t>
          </a:r>
        </a:p>
        <a:p>
          <a:pPr marL="0" marR="0" lvl="0" indent="0" algn="l" defTabSz="914400" rtl="0" eaLnBrk="0" fontAlgn="base" latinLnBrk="0" hangingPunct="0">
            <a:lnSpc>
              <a:spcPct val="100000"/>
            </a:lnSpc>
            <a:spcBef>
              <a:spcPct val="0"/>
            </a:spcBef>
            <a:spcAft>
              <a:spcPct val="0"/>
            </a:spcAft>
            <a:buClrTx/>
            <a:buSzTx/>
            <a:buFontTx/>
            <a:buNone/>
            <a:tabLst/>
            <a:defRPr/>
          </a:pPr>
          <a:endPar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rPr>
            <a:t>All content of this document is copyright © 2023 Energy Systems Catapult Limited. The information in this document is the property of the ESC.  You may copy, publish, distribute or otherwise transmit the information PROVIDED THAT you acknowledge that the information contains copyright information of the ESC and include the following acknowledgement “Information taken from </a:t>
          </a:r>
          <a:r>
            <a:rPr lang="en-GB" sz="1200">
              <a:solidFill>
                <a:sysClr val="windowText" lastClr="000000"/>
              </a:solidFill>
              <a:latin typeface="Arial" panose="020B0604020202020204"/>
            </a:rPr>
            <a:t>Lighting intervention estimator </a:t>
          </a:r>
          <a:r>
            <a:rPr kumimoji="0" lang="en-GB" sz="1200" b="0" i="0" u="none" strike="noStrike" kern="1200" cap="none" spc="0" normalizeH="0" baseline="0">
              <a:ln>
                <a:noFill/>
              </a:ln>
              <a:solidFill>
                <a:sysClr val="windowText" lastClr="000000"/>
              </a:solidFill>
              <a:effectLst/>
              <a:uLnTx/>
              <a:uFillTx/>
              <a:latin typeface="Arial" panose="020B0604020202020204"/>
              <a:ea typeface="+mn-ea"/>
              <a:cs typeface="+mn-cs"/>
            </a:rPr>
            <a:t>created by the Energy Systems Catapult Limited”.	</a:t>
          </a:r>
        </a:p>
      </xdr:txBody>
    </xdr:sp>
    <xdr:clientData/>
  </xdr:twoCellAnchor>
  <xdr:twoCellAnchor>
    <xdr:from>
      <xdr:col>3</xdr:col>
      <xdr:colOff>257175</xdr:colOff>
      <xdr:row>1</xdr:row>
      <xdr:rowOff>76200</xdr:rowOff>
    </xdr:from>
    <xdr:to>
      <xdr:col>4</xdr:col>
      <xdr:colOff>388825</xdr:colOff>
      <xdr:row>5</xdr:row>
      <xdr:rowOff>57116</xdr:rowOff>
    </xdr:to>
    <xdr:grpSp>
      <xdr:nvGrpSpPr>
        <xdr:cNvPr id="4" name="Group 3">
          <a:extLst>
            <a:ext uri="{FF2B5EF4-FFF2-40B4-BE49-F238E27FC236}">
              <a16:creationId xmlns:a16="http://schemas.microsoft.com/office/drawing/2014/main" id="{4E088C35-950D-050A-3968-7F323DD58BC5}"/>
            </a:ext>
          </a:extLst>
        </xdr:cNvPr>
        <xdr:cNvGrpSpPr/>
      </xdr:nvGrpSpPr>
      <xdr:grpSpPr>
        <a:xfrm>
          <a:off x="4370070" y="285750"/>
          <a:ext cx="4297885" cy="822926"/>
          <a:chOff x="4100627" y="2995295"/>
          <a:chExt cx="4297885" cy="819116"/>
        </a:xfrm>
      </xdr:grpSpPr>
      <xdr:pic>
        <xdr:nvPicPr>
          <xdr:cNvPr id="5" name="Picture 4">
            <a:extLst>
              <a:ext uri="{FF2B5EF4-FFF2-40B4-BE49-F238E27FC236}">
                <a16:creationId xmlns:a16="http://schemas.microsoft.com/office/drawing/2014/main" id="{5146F372-8E2A-B84A-102F-1667C664490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9" name="Picture 8" descr="Graphical user interface, text&#10;&#10;Description automatically generated">
            <a:extLst>
              <a:ext uri="{FF2B5EF4-FFF2-40B4-BE49-F238E27FC236}">
                <a16:creationId xmlns:a16="http://schemas.microsoft.com/office/drawing/2014/main" id="{BE11DF18-611A-13A4-7877-C2675B9940B2}"/>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10" name="Picture 9">
            <a:extLst>
              <a:ext uri="{FF2B5EF4-FFF2-40B4-BE49-F238E27FC236}">
                <a16:creationId xmlns:a16="http://schemas.microsoft.com/office/drawing/2014/main" id="{CC50E0DB-2E2D-2387-4CBE-215D36C446E1}"/>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3</xdr:col>
      <xdr:colOff>3143892</xdr:colOff>
      <xdr:row>5</xdr:row>
      <xdr:rowOff>17092</xdr:rowOff>
    </xdr:from>
    <xdr:to>
      <xdr:col>4</xdr:col>
      <xdr:colOff>322422</xdr:colOff>
      <xdr:row>15</xdr:row>
      <xdr:rowOff>169538</xdr:rowOff>
    </xdr:to>
    <xdr:pic>
      <xdr:nvPicPr>
        <xdr:cNvPr id="2" name="Picture 1">
          <a:extLst>
            <a:ext uri="{FF2B5EF4-FFF2-40B4-BE49-F238E27FC236}">
              <a16:creationId xmlns:a16="http://schemas.microsoft.com/office/drawing/2014/main" id="{C934A50A-91B6-47AD-A8ED-3308DF40D1DB}"/>
            </a:ext>
          </a:extLst>
        </xdr:cNvPr>
        <xdr:cNvPicPr>
          <a:picLocks noChangeAspect="1"/>
        </xdr:cNvPicPr>
      </xdr:nvPicPr>
      <xdr:blipFill rotWithShape="1">
        <a:blip xmlns:r="http://schemas.openxmlformats.org/officeDocument/2006/relationships" r:embed="rId6" cstate="print">
          <a:alphaModFix amt="20000"/>
          <a:extLst>
            <a:ext uri="{28A0092B-C50C-407E-A947-70E740481C1C}">
              <a14:useLocalDpi xmlns:a14="http://schemas.microsoft.com/office/drawing/2010/main" val="0"/>
            </a:ext>
          </a:extLst>
        </a:blip>
        <a:srcRect l="37226" t="33615" r="34809" b="24807"/>
        <a:stretch/>
      </xdr:blipFill>
      <xdr:spPr>
        <a:xfrm>
          <a:off x="7258692" y="1064842"/>
          <a:ext cx="1350480" cy="2575606"/>
        </a:xfrm>
        <a:prstGeom prst="rect">
          <a:avLst/>
        </a:prstGeom>
      </xdr:spPr>
    </xdr:pic>
    <xdr:clientData/>
  </xdr:twoCellAnchor>
  <xdr:twoCellAnchor editAs="oneCell">
    <xdr:from>
      <xdr:col>3</xdr:col>
      <xdr:colOff>352425</xdr:colOff>
      <xdr:row>5</xdr:row>
      <xdr:rowOff>0</xdr:rowOff>
    </xdr:from>
    <xdr:to>
      <xdr:col>3</xdr:col>
      <xdr:colOff>2035664</xdr:colOff>
      <xdr:row>15</xdr:row>
      <xdr:rowOff>173355</xdr:rowOff>
    </xdr:to>
    <xdr:pic>
      <xdr:nvPicPr>
        <xdr:cNvPr id="6" name="Picture 5">
          <a:extLst>
            <a:ext uri="{FF2B5EF4-FFF2-40B4-BE49-F238E27FC236}">
              <a16:creationId xmlns:a16="http://schemas.microsoft.com/office/drawing/2014/main" id="{BD68B240-3635-4514-9FF0-76F7269CD80F}"/>
            </a:ext>
          </a:extLst>
        </xdr:cNvPr>
        <xdr:cNvPicPr>
          <a:picLocks noChangeAspect="1"/>
        </xdr:cNvPicPr>
      </xdr:nvPicPr>
      <xdr:blipFill rotWithShape="1">
        <a:blip xmlns:r="http://schemas.openxmlformats.org/officeDocument/2006/relationships" r:embed="rId7">
          <a:alphaModFix amt="20000"/>
          <a:extLst>
            <a:ext uri="{28A0092B-C50C-407E-A947-70E740481C1C}">
              <a14:useLocalDpi xmlns:a14="http://schemas.microsoft.com/office/drawing/2010/main" val="0"/>
            </a:ext>
          </a:extLst>
        </a:blip>
        <a:srcRect l="16214" r="17362"/>
        <a:stretch/>
      </xdr:blipFill>
      <xdr:spPr>
        <a:xfrm>
          <a:off x="4467225" y="1047750"/>
          <a:ext cx="1675619" cy="2596515"/>
        </a:xfrm>
        <a:prstGeom prst="rect">
          <a:avLst/>
        </a:prstGeom>
      </xdr:spPr>
    </xdr:pic>
    <xdr:clientData/>
  </xdr:twoCellAnchor>
  <xdr:twoCellAnchor editAs="oneCell">
    <xdr:from>
      <xdr:col>1</xdr:col>
      <xdr:colOff>0</xdr:colOff>
      <xdr:row>13</xdr:row>
      <xdr:rowOff>26670</xdr:rowOff>
    </xdr:from>
    <xdr:to>
      <xdr:col>2</xdr:col>
      <xdr:colOff>473155</xdr:colOff>
      <xdr:row>20</xdr:row>
      <xdr:rowOff>173697</xdr:rowOff>
    </xdr:to>
    <xdr:pic>
      <xdr:nvPicPr>
        <xdr:cNvPr id="7" name="Picture 6">
          <a:extLst>
            <a:ext uri="{FF2B5EF4-FFF2-40B4-BE49-F238E27FC236}">
              <a16:creationId xmlns:a16="http://schemas.microsoft.com/office/drawing/2014/main" id="{166C8904-29AD-48C5-96B3-AA08C2DB75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7650" y="3074670"/>
          <a:ext cx="1553290" cy="1621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3600450</xdr:colOff>
      <xdr:row>0</xdr:row>
      <xdr:rowOff>190500</xdr:rowOff>
    </xdr:from>
    <xdr:to>
      <xdr:col>3</xdr:col>
      <xdr:colOff>600280</xdr:colOff>
      <xdr:row>4</xdr:row>
      <xdr:rowOff>175226</xdr:rowOff>
    </xdr:to>
    <xdr:grpSp>
      <xdr:nvGrpSpPr>
        <xdr:cNvPr id="2" name="Group 1">
          <a:extLst>
            <a:ext uri="{FF2B5EF4-FFF2-40B4-BE49-F238E27FC236}">
              <a16:creationId xmlns:a16="http://schemas.microsoft.com/office/drawing/2014/main" id="{8636C15D-EB86-46CA-B0BB-61DC5D402ED6}"/>
            </a:ext>
          </a:extLst>
        </xdr:cNvPr>
        <xdr:cNvGrpSpPr/>
      </xdr:nvGrpSpPr>
      <xdr:grpSpPr>
        <a:xfrm>
          <a:off x="4015740" y="190500"/>
          <a:ext cx="4297885" cy="819116"/>
          <a:chOff x="4100627" y="2995295"/>
          <a:chExt cx="4297885" cy="819116"/>
        </a:xfrm>
      </xdr:grpSpPr>
      <xdr:pic>
        <xdr:nvPicPr>
          <xdr:cNvPr id="3" name="Picture 2">
            <a:extLst>
              <a:ext uri="{FF2B5EF4-FFF2-40B4-BE49-F238E27FC236}">
                <a16:creationId xmlns:a16="http://schemas.microsoft.com/office/drawing/2014/main" id="{B3A0AB17-9C22-D232-DE81-C225A118415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5117374" y="2995295"/>
            <a:ext cx="947673" cy="361262"/>
          </a:xfrm>
          <a:prstGeom prst="rect">
            <a:avLst/>
          </a:prstGeom>
        </xdr:spPr>
      </xdr:pic>
      <xdr:pic>
        <xdr:nvPicPr>
          <xdr:cNvPr id="8" name="Picture 7" descr="Graphical user interface, text&#10;&#10;Description automatically generated">
            <a:extLst>
              <a:ext uri="{FF2B5EF4-FFF2-40B4-BE49-F238E27FC236}">
                <a16:creationId xmlns:a16="http://schemas.microsoft.com/office/drawing/2014/main" id="{B89B0DEB-9250-F9D4-53E8-9FB1BA9D6FBD}"/>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37340"/>
          <a:stretch/>
        </xdr:blipFill>
        <xdr:spPr bwMode="auto">
          <a:xfrm>
            <a:off x="6065047" y="2995295"/>
            <a:ext cx="2333465" cy="819116"/>
          </a:xfrm>
          <a:prstGeom prst="rect">
            <a:avLst/>
          </a:prstGeom>
          <a:noFill/>
          <a:ln>
            <a:noFill/>
          </a:ln>
        </xdr:spPr>
      </xdr:pic>
      <xdr:pic>
        <xdr:nvPicPr>
          <xdr:cNvPr id="9" name="Picture 8">
            <a:extLst>
              <a:ext uri="{FF2B5EF4-FFF2-40B4-BE49-F238E27FC236}">
                <a16:creationId xmlns:a16="http://schemas.microsoft.com/office/drawing/2014/main" id="{F65CFB3F-4BCD-0C68-E8BE-244847415C2B}"/>
              </a:ext>
            </a:extLst>
          </xdr:cNvPr>
          <xdr:cNvPicPr>
            <a:picLocks noChangeAspect="1"/>
          </xdr:cNvPicPr>
        </xdr:nvPicPr>
        <xdr:blipFill>
          <a:blip xmlns:r="http://schemas.openxmlformats.org/officeDocument/2006/relationships" r:embed="rId5"/>
          <a:stretch>
            <a:fillRect/>
          </a:stretch>
        </xdr:blipFill>
        <xdr:spPr>
          <a:xfrm>
            <a:off x="4100627" y="2995295"/>
            <a:ext cx="1016748" cy="678185"/>
          </a:xfrm>
          <a:prstGeom prst="rect">
            <a:avLst/>
          </a:prstGeom>
        </xdr:spPr>
      </xdr:pic>
    </xdr:grpSp>
    <xdr:clientData/>
  </xdr:twoCellAnchor>
  <xdr:twoCellAnchor editAs="oneCell">
    <xdr:from>
      <xdr:col>1</xdr:col>
      <xdr:colOff>190500</xdr:colOff>
      <xdr:row>8</xdr:row>
      <xdr:rowOff>53340</xdr:rowOff>
    </xdr:from>
    <xdr:to>
      <xdr:col>2</xdr:col>
      <xdr:colOff>1277065</xdr:colOff>
      <xdr:row>14</xdr:row>
      <xdr:rowOff>74637</xdr:rowOff>
    </xdr:to>
    <xdr:pic>
      <xdr:nvPicPr>
        <xdr:cNvPr id="4" name="Picture 3">
          <a:extLst>
            <a:ext uri="{FF2B5EF4-FFF2-40B4-BE49-F238E27FC236}">
              <a16:creationId xmlns:a16="http://schemas.microsoft.com/office/drawing/2014/main" id="{37A04170-8101-BEE9-D64A-3EC719E6FB1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0050" y="1729740"/>
          <a:ext cx="1296115" cy="1278597"/>
        </a:xfrm>
        <a:prstGeom prst="rect">
          <a:avLst/>
        </a:prstGeom>
      </xdr:spPr>
    </xdr:pic>
    <xdr:clientData/>
  </xdr:twoCellAnchor>
  <xdr:twoCellAnchor editAs="oneCell">
    <xdr:from>
      <xdr:col>2</xdr:col>
      <xdr:colOff>6388107</xdr:colOff>
      <xdr:row>6</xdr:row>
      <xdr:rowOff>11377</xdr:rowOff>
    </xdr:from>
    <xdr:to>
      <xdr:col>3</xdr:col>
      <xdr:colOff>431007</xdr:colOff>
      <xdr:row>16</xdr:row>
      <xdr:rowOff>169538</xdr:rowOff>
    </xdr:to>
    <xdr:pic>
      <xdr:nvPicPr>
        <xdr:cNvPr id="5" name="Picture 4">
          <a:extLst>
            <a:ext uri="{FF2B5EF4-FFF2-40B4-BE49-F238E27FC236}">
              <a16:creationId xmlns:a16="http://schemas.microsoft.com/office/drawing/2014/main" id="{13328935-FC31-42EC-B907-BF05E7970414}"/>
            </a:ext>
          </a:extLst>
        </xdr:cNvPr>
        <xdr:cNvPicPr>
          <a:picLocks noChangeAspect="1"/>
        </xdr:cNvPicPr>
      </xdr:nvPicPr>
      <xdr:blipFill rotWithShape="1">
        <a:blip xmlns:r="http://schemas.openxmlformats.org/officeDocument/2006/relationships" r:embed="rId7" cstate="print">
          <a:alphaModFix amt="20000"/>
          <a:extLst>
            <a:ext uri="{28A0092B-C50C-407E-A947-70E740481C1C}">
              <a14:useLocalDpi xmlns:a14="http://schemas.microsoft.com/office/drawing/2010/main" val="0"/>
            </a:ext>
          </a:extLst>
        </a:blip>
        <a:srcRect l="37226" t="33615" r="34809" b="24807"/>
        <a:stretch/>
      </xdr:blipFill>
      <xdr:spPr>
        <a:xfrm>
          <a:off x="6807207" y="1268677"/>
          <a:ext cx="1339050" cy="2577511"/>
        </a:xfrm>
        <a:prstGeom prst="rect">
          <a:avLst/>
        </a:prstGeom>
      </xdr:spPr>
    </xdr:pic>
    <xdr:clientData/>
  </xdr:twoCellAnchor>
  <xdr:twoCellAnchor editAs="oneCell">
    <xdr:from>
      <xdr:col>2</xdr:col>
      <xdr:colOff>3590925</xdr:colOff>
      <xdr:row>6</xdr:row>
      <xdr:rowOff>0</xdr:rowOff>
    </xdr:from>
    <xdr:to>
      <xdr:col>2</xdr:col>
      <xdr:colOff>5266544</xdr:colOff>
      <xdr:row>16</xdr:row>
      <xdr:rowOff>180975</xdr:rowOff>
    </xdr:to>
    <xdr:pic>
      <xdr:nvPicPr>
        <xdr:cNvPr id="6" name="Picture 5">
          <a:extLst>
            <a:ext uri="{FF2B5EF4-FFF2-40B4-BE49-F238E27FC236}">
              <a16:creationId xmlns:a16="http://schemas.microsoft.com/office/drawing/2014/main" id="{568C0B10-D484-483D-8252-5933DBDA2A7D}"/>
            </a:ext>
          </a:extLst>
        </xdr:cNvPr>
        <xdr:cNvPicPr>
          <a:picLocks noChangeAspect="1"/>
        </xdr:cNvPicPr>
      </xdr:nvPicPr>
      <xdr:blipFill rotWithShape="1">
        <a:blip xmlns:r="http://schemas.openxmlformats.org/officeDocument/2006/relationships" r:embed="rId8">
          <a:alphaModFix amt="20000"/>
          <a:extLst>
            <a:ext uri="{28A0092B-C50C-407E-A947-70E740481C1C}">
              <a14:useLocalDpi xmlns:a14="http://schemas.microsoft.com/office/drawing/2010/main" val="0"/>
            </a:ext>
          </a:extLst>
        </a:blip>
        <a:srcRect l="16214" r="17362"/>
        <a:stretch/>
      </xdr:blipFill>
      <xdr:spPr>
        <a:xfrm>
          <a:off x="4010025" y="1257300"/>
          <a:ext cx="1675619" cy="2600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brown/AppData/Local/Huddle/Huddle/Files/30e8229f-2ef7-49d5-8e38-4c6a9340f609/BMS%20Assessment%20Model%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EP\Concept%20Design%20Model\Concept%20Design%20Model_v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ant.tuff/Desktop/New_Build_Dema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ser Notes - Read Me"/>
      <sheetName val="Version Control"/>
      <sheetName val="Data Source and Assumptions"/>
      <sheetName val="Building Breakdown"/>
      <sheetName val="Option 1 Cost &amp; Savings"/>
      <sheetName val="Option 2 Cost &amp; Savings"/>
      <sheetName val="Techno-Economic Assumptions"/>
      <sheetName val="List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Site Version"/>
      <sheetName val="Site Summary"/>
      <sheetName val="Site Technologies"/>
      <sheetName val="Building Energy"/>
      <sheetName val="Building CO2e"/>
      <sheetName val="Building Costs"/>
      <sheetName val="Networks"/>
      <sheetName val="Demand Scaling"/>
      <sheetName val="Elec Demand Curves"/>
      <sheetName val="Gas Demand Curves"/>
      <sheetName val="Heat Demand Curves"/>
      <sheetName val="Biomass Demand Curves"/>
      <sheetName val="Elec Demand Curves Future"/>
      <sheetName val="Gas Demand Curves Future"/>
      <sheetName val="Heat Demand Curves Future"/>
      <sheetName val="Biomass Demand Curves Future"/>
      <sheetName val="Hydrogen Demand Curves Future"/>
      <sheetName val="Energy Benchmarks"/>
      <sheetName val="Building Capex Opex"/>
      <sheetName val="Electricity Potential"/>
      <sheetName val="Electricity Breakdown"/>
      <sheetName val="Non Electricity Potential"/>
      <sheetName val="Non Electricity Breakdown"/>
      <sheetName val="Abatement Cost"/>
      <sheetName val="Fuel Costs"/>
      <sheetName val="Stand Alone Technologies"/>
      <sheetName val="Heat Network"/>
      <sheetName val="Electricity Network"/>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User Notes"/>
      <sheetName val="Site Model"/>
      <sheetName val="Annual Demands"/>
      <sheetName val="Lists"/>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xi Seagroatt" id="{C80F8C52-0A1F-4A21-A9BF-BEDE6B894425}" userId="" providerI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17" dT="2023-02-09T11:36:49.64" personId="{C80F8C52-0A1F-4A21-A9BF-BEDE6B894425}" id="{24AA2211-F238-460B-A6FF-CD2497124223}">
    <text>is this cell supposed to look like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decarbguidance@es.catapult.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timeseries/l55o/mm2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lyco.co.uk/philips-master-57w-4-pin-pl-t-gx24q-5-dimmable.html" TargetMode="External"/><Relationship Id="rId13" Type="http://schemas.openxmlformats.org/officeDocument/2006/relationships/hyperlink" Target="https://www.bltdirect.com/son-t-tubular-external-ignitor-1000-watt-ges" TargetMode="External"/><Relationship Id="rId18" Type="http://schemas.openxmlformats.org/officeDocument/2006/relationships/printerSettings" Target="../printerSettings/printerSettings10.bin"/><Relationship Id="rId3" Type="http://schemas.openxmlformats.org/officeDocument/2006/relationships/hyperlink" Target="https://www.lyco.co.uk/osram-t8-s-a-d-fluorescent-tube-36w.html" TargetMode="External"/><Relationship Id="rId7" Type="http://schemas.openxmlformats.org/officeDocument/2006/relationships/hyperlink" Target="https://www.lyco.co.uk/42w-4-pin-biax-te-gx24q-4-white.html" TargetMode="External"/><Relationship Id="rId12" Type="http://schemas.openxmlformats.org/officeDocument/2006/relationships/hyperlink" Target="https://uk.rs-online.com/web/p/metal-halide-lamps/7899927/" TargetMode="External"/><Relationship Id="rId17" Type="http://schemas.openxmlformats.org/officeDocument/2006/relationships/hyperlink" Target="https://www.ons.gov.uk/economy/inflationandpriceindices/timeseries/l55o/mm23" TargetMode="External"/><Relationship Id="rId2" Type="http://schemas.openxmlformats.org/officeDocument/2006/relationships/hyperlink" Target="https://www.lyco.co.uk/philips-70w-white-master-tl-d-super-80-t8-fluorescent-tube-6ft.html" TargetMode="External"/><Relationship Id="rId16" Type="http://schemas.openxmlformats.org/officeDocument/2006/relationships/hyperlink" Target="https://www.bltdirect.com/son-t-plus-tubular-external-ignitor-50-watt-es" TargetMode="External"/><Relationship Id="rId1" Type="http://schemas.openxmlformats.org/officeDocument/2006/relationships/hyperlink" Target="https://www.lyco.co.uk/crompton-9w-warm-white-led-t8-full-glass-tube-2ft.html" TargetMode="External"/><Relationship Id="rId6" Type="http://schemas.openxmlformats.org/officeDocument/2006/relationships/hyperlink" Target="https://www.lyco.co.uk/18w-4-pin-biax-de-g24q-2-white.html" TargetMode="External"/><Relationship Id="rId11" Type="http://schemas.openxmlformats.org/officeDocument/2006/relationships/hyperlink" Target="https://uk.rs-online.com/web/p/metal-halide-lamps/7863252/" TargetMode="External"/><Relationship Id="rId5" Type="http://schemas.openxmlformats.org/officeDocument/2006/relationships/hyperlink" Target="https://www.lyco.co.uk/9w-2-pin-biax-s-g23-cool-white.html" TargetMode="External"/><Relationship Id="rId15" Type="http://schemas.openxmlformats.org/officeDocument/2006/relationships/hyperlink" Target="https://www.bltdirect.com/son-t-plus-tubular-external-ignitor-100-watt-ges" TargetMode="External"/><Relationship Id="rId10" Type="http://schemas.openxmlformats.org/officeDocument/2006/relationships/hyperlink" Target="https://uk.rs-online.com/web/p/metal-halide-lamps/6997222/" TargetMode="External"/><Relationship Id="rId4" Type="http://schemas.openxmlformats.org/officeDocument/2006/relationships/hyperlink" Target="https://www.lyco.co.uk/osram-t8-s-a-d-fluorescent-tube-58w.html" TargetMode="External"/><Relationship Id="rId9" Type="http://schemas.openxmlformats.org/officeDocument/2006/relationships/hyperlink" Target="https://uk.rs-online.com/web/p/son-lamps/3818517/" TargetMode="External"/><Relationship Id="rId14" Type="http://schemas.openxmlformats.org/officeDocument/2006/relationships/hyperlink" Target="https://www.bltdirect.com/son-t-plus-tubular-external-ignitor-400-watt-ges-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ons.gov.uk/economy/inflationandpriceindices/timeseries/l55o/mm23"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6A77-E3EB-4B1E-853F-1CE2C2B9D3A1}">
  <sheetPr codeName="Sheet13">
    <tabColor theme="7"/>
    <pageSetUpPr autoPageBreaks="0"/>
  </sheetPr>
  <dimension ref="A1:O46"/>
  <sheetViews>
    <sheetView showGridLines="0" tabSelected="1" topLeftCell="A17" workbookViewId="0">
      <selection activeCell="B11" sqref="B11"/>
    </sheetView>
  </sheetViews>
  <sheetFormatPr defaultColWidth="0" defaultRowHeight="16.8" zeroHeight="1" x14ac:dyDescent="0.4"/>
  <cols>
    <col min="1" max="1" width="3.6640625" style="145" customWidth="1"/>
    <col min="2" max="2" width="15.6640625" style="145" customWidth="1"/>
    <col min="3" max="3" width="40.6640625" style="145" customWidth="1"/>
    <col min="4" max="4" width="60.6640625" style="145" customWidth="1"/>
    <col min="5" max="5" width="8.6640625" style="145" customWidth="1"/>
    <col min="6" max="15" width="0" style="145" hidden="1" customWidth="1"/>
    <col min="16" max="16384" width="8.6640625" style="145" hidden="1"/>
  </cols>
  <sheetData>
    <row r="1" spans="1:5" x14ac:dyDescent="0.4">
      <c r="C1" s="146"/>
    </row>
    <row r="2" spans="1:5" x14ac:dyDescent="0.4">
      <c r="C2" s="146"/>
    </row>
    <row r="3" spans="1:5" x14ac:dyDescent="0.4">
      <c r="C3" s="146"/>
    </row>
    <row r="4" spans="1:5" x14ac:dyDescent="0.4">
      <c r="C4" s="146"/>
    </row>
    <row r="5" spans="1:5" x14ac:dyDescent="0.4">
      <c r="C5" s="146"/>
    </row>
    <row r="6" spans="1:5" x14ac:dyDescent="0.4">
      <c r="C6" s="146"/>
    </row>
    <row r="7" spans="1:5" x14ac:dyDescent="0.4">
      <c r="C7" s="146"/>
    </row>
    <row r="8" spans="1:5" x14ac:dyDescent="0.4">
      <c r="C8" s="146"/>
    </row>
    <row r="9" spans="1:5" x14ac:dyDescent="0.4">
      <c r="C9" s="146"/>
    </row>
    <row r="10" spans="1:5" x14ac:dyDescent="0.4">
      <c r="C10" s="146"/>
    </row>
    <row r="11" spans="1:5" ht="29.4" x14ac:dyDescent="0.65">
      <c r="B11" s="149" t="s">
        <v>295</v>
      </c>
      <c r="C11" s="146"/>
    </row>
    <row r="12" spans="1:5" ht="29.4" x14ac:dyDescent="0.65">
      <c r="B12" s="156" t="s">
        <v>294</v>
      </c>
      <c r="C12" s="146"/>
    </row>
    <row r="13" spans="1:5" x14ac:dyDescent="0.4">
      <c r="C13" s="146"/>
    </row>
    <row r="14" spans="1:5" s="147" customFormat="1" x14ac:dyDescent="0.4">
      <c r="A14" s="145"/>
      <c r="B14" s="155"/>
      <c r="C14" s="155"/>
      <c r="D14" s="155"/>
      <c r="E14" s="145"/>
    </row>
    <row r="15" spans="1:5" x14ac:dyDescent="0.4">
      <c r="A15" s="146"/>
      <c r="B15" s="146"/>
      <c r="C15" s="146"/>
    </row>
    <row r="16" spans="1:5" s="147" customFormat="1" x14ac:dyDescent="0.4">
      <c r="A16" s="145"/>
      <c r="E16" s="145"/>
    </row>
    <row r="17" spans="1:1" x14ac:dyDescent="0.4"/>
    <row r="18" spans="1:1" x14ac:dyDescent="0.4"/>
    <row r="19" spans="1:1" x14ac:dyDescent="0.4"/>
    <row r="20" spans="1:1" x14ac:dyDescent="0.4"/>
    <row r="21" spans="1:1" x14ac:dyDescent="0.4"/>
    <row r="22" spans="1:1" x14ac:dyDescent="0.4"/>
    <row r="23" spans="1:1" x14ac:dyDescent="0.4"/>
    <row r="24" spans="1:1" x14ac:dyDescent="0.4"/>
    <row r="25" spans="1:1" x14ac:dyDescent="0.4"/>
    <row r="26" spans="1:1" x14ac:dyDescent="0.4"/>
    <row r="27" spans="1:1" x14ac:dyDescent="0.4"/>
    <row r="28" spans="1:1" x14ac:dyDescent="0.4"/>
    <row r="29" spans="1:1" x14ac:dyDescent="0.4">
      <c r="A29" s="148"/>
    </row>
    <row r="30" spans="1:1" x14ac:dyDescent="0.4">
      <c r="A30" s="148"/>
    </row>
    <row r="31" spans="1:1" x14ac:dyDescent="0.4">
      <c r="A31" s="148"/>
    </row>
    <row r="32" spans="1:1" x14ac:dyDescent="0.4">
      <c r="A32" s="146"/>
    </row>
    <row r="33" spans="1:5" x14ac:dyDescent="0.4">
      <c r="A33" s="146"/>
    </row>
    <row r="34" spans="1:5" x14ac:dyDescent="0.4">
      <c r="A34" s="146"/>
    </row>
    <row r="35" spans="1:5" x14ac:dyDescent="0.4">
      <c r="A35" s="146"/>
    </row>
    <row r="36" spans="1:5" x14ac:dyDescent="0.4">
      <c r="A36" s="146"/>
    </row>
    <row r="37" spans="1:5" x14ac:dyDescent="0.4">
      <c r="A37" s="146"/>
    </row>
    <row r="38" spans="1:5" x14ac:dyDescent="0.4"/>
    <row r="39" spans="1:5" x14ac:dyDescent="0.4"/>
    <row r="40" spans="1:5" x14ac:dyDescent="0.4"/>
    <row r="41" spans="1:5" x14ac:dyDescent="0.4"/>
    <row r="42" spans="1:5" x14ac:dyDescent="0.4"/>
    <row r="43" spans="1:5" s="147" customFormat="1" x14ac:dyDescent="0.4">
      <c r="A43" s="145"/>
      <c r="B43" s="147" t="s">
        <v>0</v>
      </c>
      <c r="E43" s="145"/>
    </row>
    <row r="44" spans="1:5" s="147" customFormat="1" x14ac:dyDescent="0.4">
      <c r="A44" s="145"/>
      <c r="B44" s="150" t="s">
        <v>1</v>
      </c>
      <c r="E44" s="145"/>
    </row>
    <row r="45" spans="1:5" s="147" customFormat="1" x14ac:dyDescent="0.4">
      <c r="A45" s="145"/>
      <c r="E45" s="145"/>
    </row>
    <row r="46" spans="1:5" x14ac:dyDescent="0.4"/>
  </sheetData>
  <mergeCells count="1">
    <mergeCell ref="B14:D14"/>
  </mergeCells>
  <hyperlinks>
    <hyperlink ref="B44" r:id="rId1" xr:uid="{FF062DFD-894C-4A4E-991C-F2B90A3E741C}"/>
  </hyperlinks>
  <pageMargins left="0.7" right="0.7" top="0.75" bottom="0.75" header="0.3" footer="0.3"/>
  <pageSetup orientation="portrait" r:id="rId2"/>
  <headerFooter>
    <oddFooter>&amp;L&amp;1#&amp;"Calibri"&amp;10&amp;K000000 -------------------------------------------------------- This document is marked as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530-5E4E-4132-BE79-7B4AD1DC1091}">
  <sheetPr codeName="Sheet2">
    <tabColor theme="7"/>
    <pageSetUpPr autoPageBreaks="0"/>
  </sheetPr>
  <dimension ref="A1:XFC54"/>
  <sheetViews>
    <sheetView showGridLines="0" topLeftCell="A41" zoomScaleNormal="100" workbookViewId="0">
      <selection activeCell="C35" sqref="C35"/>
    </sheetView>
  </sheetViews>
  <sheetFormatPr defaultColWidth="8.88671875" defaultRowHeight="16.8" zeroHeight="1" x14ac:dyDescent="0.4"/>
  <cols>
    <col min="1" max="2" width="3" style="133" customWidth="1"/>
    <col min="3" max="3" width="106.44140625" style="133" customWidth="1"/>
    <col min="4" max="4" width="9.44140625" style="133" customWidth="1"/>
    <col min="5" max="7" width="9.44140625" style="133" hidden="1" customWidth="1"/>
    <col min="8" max="16383" width="0" style="133" hidden="1" customWidth="1"/>
    <col min="16384" max="16384" width="8.88671875" style="133" hidden="1"/>
  </cols>
  <sheetData>
    <row r="1" spans="3:3" s="132" customFormat="1" x14ac:dyDescent="0.4"/>
    <row r="2" spans="3:3" s="132" customFormat="1" x14ac:dyDescent="0.4"/>
    <row r="3" spans="3:3" s="132" customFormat="1" x14ac:dyDescent="0.4"/>
    <row r="4" spans="3:3" s="132" customFormat="1" x14ac:dyDescent="0.4"/>
    <row r="5" spans="3:3" s="132" customFormat="1" x14ac:dyDescent="0.4"/>
    <row r="6" spans="3:3" s="132" customFormat="1" x14ac:dyDescent="0.4"/>
    <row r="7" spans="3:3" s="132" customFormat="1" x14ac:dyDescent="0.4"/>
    <row r="8" spans="3:3" s="132" customFormat="1" x14ac:dyDescent="0.4"/>
    <row r="9" spans="3:3" s="132" customFormat="1" x14ac:dyDescent="0.4"/>
    <row r="10" spans="3:3" s="132" customFormat="1" x14ac:dyDescent="0.4"/>
    <row r="11" spans="3:3" s="132" customFormat="1" x14ac:dyDescent="0.4"/>
    <row r="12" spans="3:3" s="132" customFormat="1" x14ac:dyDescent="0.4"/>
    <row r="13" spans="3:3" s="132" customFormat="1" x14ac:dyDescent="0.4"/>
    <row r="14" spans="3:3" s="132" customFormat="1" x14ac:dyDescent="0.4"/>
    <row r="15" spans="3:3" s="145" customFormat="1" ht="29.4" x14ac:dyDescent="0.65">
      <c r="C15" s="149" t="s">
        <v>296</v>
      </c>
    </row>
    <row r="16" spans="3:3" s="145" customFormat="1" ht="29.4" x14ac:dyDescent="0.65">
      <c r="C16" s="156" t="s">
        <v>294</v>
      </c>
    </row>
    <row r="17" spans="2:3" x14ac:dyDescent="0.4"/>
    <row r="18" spans="2:3" ht="24.6" x14ac:dyDescent="0.4">
      <c r="C18" s="134" t="s">
        <v>2</v>
      </c>
    </row>
    <row r="19" spans="2:3" s="132" customFormat="1" ht="84" x14ac:dyDescent="0.4">
      <c r="B19" s="133"/>
      <c r="C19" s="151" t="s">
        <v>3</v>
      </c>
    </row>
    <row r="20" spans="2:3" s="132" customFormat="1" ht="50.4" x14ac:dyDescent="0.4">
      <c r="B20" s="133"/>
      <c r="C20" s="135" t="s">
        <v>297</v>
      </c>
    </row>
    <row r="21" spans="2:3" s="132" customFormat="1" ht="165.6" customHeight="1" x14ac:dyDescent="0.4">
      <c r="B21" s="133"/>
      <c r="C21" s="135" t="s">
        <v>4</v>
      </c>
    </row>
    <row r="22" spans="2:3" s="132" customFormat="1" x14ac:dyDescent="0.4">
      <c r="B22" s="133"/>
      <c r="C22" s="136"/>
    </row>
    <row r="23" spans="2:3" ht="24.6" x14ac:dyDescent="0.4">
      <c r="C23" s="137"/>
    </row>
    <row r="24" spans="2:3" x14ac:dyDescent="0.4">
      <c r="C24" s="138" t="s">
        <v>5</v>
      </c>
    </row>
    <row r="25" spans="2:3" x14ac:dyDescent="0.4">
      <c r="C25" s="139" t="s">
        <v>6</v>
      </c>
    </row>
    <row r="26" spans="2:3" x14ac:dyDescent="0.4">
      <c r="C26" s="140" t="s">
        <v>7</v>
      </c>
    </row>
    <row r="27" spans="2:3" x14ac:dyDescent="0.4"/>
    <row r="28" spans="2:3" x14ac:dyDescent="0.4">
      <c r="C28" s="157" t="s">
        <v>8</v>
      </c>
    </row>
    <row r="29" spans="2:3" x14ac:dyDescent="0.4">
      <c r="C29" s="141" t="s">
        <v>9</v>
      </c>
    </row>
    <row r="30" spans="2:3" ht="33.6" x14ac:dyDescent="0.4">
      <c r="C30" s="141" t="s">
        <v>10</v>
      </c>
    </row>
    <row r="31" spans="2:3" ht="33.6" x14ac:dyDescent="0.4">
      <c r="C31" s="141" t="s">
        <v>11</v>
      </c>
    </row>
    <row r="32" spans="2:3" x14ac:dyDescent="0.4"/>
    <row r="33" spans="3:3" x14ac:dyDescent="0.4">
      <c r="C33" s="157" t="s">
        <v>12</v>
      </c>
    </row>
    <row r="34" spans="3:3" ht="134.4" x14ac:dyDescent="0.4">
      <c r="C34" s="142" t="s">
        <v>298</v>
      </c>
    </row>
    <row r="35" spans="3:3" ht="33.6" x14ac:dyDescent="0.4">
      <c r="C35" s="143" t="s">
        <v>13</v>
      </c>
    </row>
    <row r="36" spans="3:3" x14ac:dyDescent="0.4">
      <c r="C36" s="143" t="s">
        <v>14</v>
      </c>
    </row>
    <row r="37" spans="3:3" x14ac:dyDescent="0.4">
      <c r="C37" s="143" t="s">
        <v>15</v>
      </c>
    </row>
    <row r="38" spans="3:3" ht="33.6" x14ac:dyDescent="0.4">
      <c r="C38" s="143" t="s">
        <v>16</v>
      </c>
    </row>
    <row r="39" spans="3:3" ht="33.6" x14ac:dyDescent="0.4">
      <c r="C39" s="143" t="s">
        <v>292</v>
      </c>
    </row>
    <row r="40" spans="3:3" ht="33.6" x14ac:dyDescent="0.4">
      <c r="C40" s="143" t="s">
        <v>17</v>
      </c>
    </row>
    <row r="41" spans="3:3" ht="50.4" x14ac:dyDescent="0.4">
      <c r="C41" s="143" t="s">
        <v>18</v>
      </c>
    </row>
    <row r="42" spans="3:3" x14ac:dyDescent="0.4">
      <c r="C42" s="143" t="s">
        <v>19</v>
      </c>
    </row>
    <row r="43" spans="3:3" x14ac:dyDescent="0.4">
      <c r="C43" s="143" t="s">
        <v>20</v>
      </c>
    </row>
    <row r="44" spans="3:3" ht="50.4" x14ac:dyDescent="0.4">
      <c r="C44" s="143" t="s">
        <v>21</v>
      </c>
    </row>
    <row r="45" spans="3:3" ht="67.2" x14ac:dyDescent="0.4">
      <c r="C45" s="144" t="s">
        <v>22</v>
      </c>
    </row>
    <row r="46" spans="3:3" x14ac:dyDescent="0.4"/>
    <row r="47" spans="3:3" x14ac:dyDescent="0.4">
      <c r="C47" s="157" t="s">
        <v>23</v>
      </c>
    </row>
    <row r="48" spans="3:3" ht="50.4" x14ac:dyDescent="0.4">
      <c r="C48" s="141" t="s">
        <v>293</v>
      </c>
    </row>
    <row r="49" spans="3:3" ht="50.4" x14ac:dyDescent="0.4">
      <c r="C49" s="141" t="s">
        <v>24</v>
      </c>
    </row>
    <row r="50" spans="3:3" ht="67.2" x14ac:dyDescent="0.4">
      <c r="C50" s="152" t="s">
        <v>25</v>
      </c>
    </row>
    <row r="51" spans="3:3" ht="50.4" x14ac:dyDescent="0.4">
      <c r="C51" s="141" t="s">
        <v>26</v>
      </c>
    </row>
    <row r="52" spans="3:3" ht="22.8" customHeight="1" x14ac:dyDescent="0.4">
      <c r="C52" s="141" t="s">
        <v>27</v>
      </c>
    </row>
    <row r="53" spans="3:3" x14ac:dyDescent="0.4"/>
    <row r="54" spans="3:3" x14ac:dyDescent="0.4"/>
  </sheetData>
  <pageMargins left="0.7" right="0.7" top="0.75" bottom="0.75" header="0.3" footer="0.3"/>
  <pageSetup paperSize="9" orientation="portrait" r:id="rId1"/>
  <headerFooter>
    <oddFooter>&amp;L&amp;1#&amp;"Calibri"&amp;10&amp;K000000 -------------------------------------------------------- This document is marked as confidential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FDA3-DB69-4D9F-B8A8-947CB29035C4}">
  <sheetPr codeName="Sheet4">
    <pageSetUpPr autoPageBreaks="0"/>
  </sheetPr>
  <dimension ref="A1:AH116"/>
  <sheetViews>
    <sheetView showGridLines="0" zoomScale="90" zoomScaleNormal="90" workbookViewId="0">
      <selection activeCell="E19" sqref="E19"/>
    </sheetView>
  </sheetViews>
  <sheetFormatPr defaultColWidth="0" defaultRowHeight="14.4" zeroHeight="1" x14ac:dyDescent="0.3"/>
  <cols>
    <col min="1" max="1" width="3.44140625" customWidth="1"/>
    <col min="2" max="2" width="19.44140625" customWidth="1"/>
    <col min="3" max="3" width="24.88671875" customWidth="1"/>
    <col min="4" max="4" width="13.5546875" customWidth="1"/>
    <col min="5" max="5" width="34" bestFit="1" customWidth="1"/>
    <col min="6" max="6" width="23.33203125" bestFit="1" customWidth="1"/>
    <col min="7" max="7" width="24.109375" bestFit="1" customWidth="1"/>
    <col min="8" max="8" width="26.109375" customWidth="1"/>
    <col min="9" max="9" width="15" customWidth="1"/>
    <col min="10" max="11" width="13.44140625" customWidth="1"/>
    <col min="12" max="24" width="12.6640625" customWidth="1"/>
    <col min="25" max="25" width="16.44140625" customWidth="1"/>
    <col min="26" max="26" width="1.88671875" customWidth="1"/>
    <col min="27" max="27" width="27.88671875" bestFit="1" customWidth="1"/>
    <col min="28" max="28" width="12.33203125" customWidth="1"/>
    <col min="29" max="33" width="13.6640625" customWidth="1"/>
    <col min="34" max="34" width="8.88671875" customWidth="1"/>
    <col min="35" max="16384" width="8.88671875" hidden="1"/>
  </cols>
  <sheetData>
    <row r="1" spans="2:33" x14ac:dyDescent="0.3"/>
    <row r="2" spans="2:33" ht="18" x14ac:dyDescent="0.3">
      <c r="B2" s="29" t="s">
        <v>28</v>
      </c>
    </row>
    <row r="3" spans="2:33" x14ac:dyDescent="0.3"/>
    <row r="4" spans="2:33" x14ac:dyDescent="0.3">
      <c r="B4" s="4" t="s">
        <v>29</v>
      </c>
      <c r="C4" s="28" t="s">
        <v>30</v>
      </c>
      <c r="D4" s="28"/>
      <c r="I4" s="100"/>
      <c r="J4" s="100"/>
      <c r="L4" s="101"/>
      <c r="M4" s="102"/>
    </row>
    <row r="5" spans="2:33" x14ac:dyDescent="0.3">
      <c r="C5" s="103" t="s">
        <v>31</v>
      </c>
      <c r="D5" s="34" t="s">
        <v>32</v>
      </c>
      <c r="E5" s="104"/>
      <c r="I5" s="100"/>
      <c r="J5" s="100"/>
      <c r="L5" s="101"/>
      <c r="M5" s="102"/>
    </row>
    <row r="6" spans="2:33" x14ac:dyDescent="0.3">
      <c r="B6" s="4"/>
      <c r="C6" s="4"/>
      <c r="D6" s="4"/>
      <c r="E6" s="4"/>
      <c r="H6" s="105" t="s">
        <v>33</v>
      </c>
      <c r="I6" s="105"/>
      <c r="J6" s="105"/>
      <c r="K6" s="105"/>
      <c r="M6" s="102"/>
    </row>
    <row r="7" spans="2:33" x14ac:dyDescent="0.3">
      <c r="B7" s="4" t="s">
        <v>34</v>
      </c>
      <c r="C7" s="28" t="s">
        <v>30</v>
      </c>
      <c r="D7" s="106" t="s">
        <v>35</v>
      </c>
      <c r="H7" s="107" t="s">
        <v>36</v>
      </c>
      <c r="I7" s="108" t="s">
        <v>37</v>
      </c>
      <c r="J7" s="109"/>
      <c r="K7" s="109"/>
      <c r="L7" s="101"/>
    </row>
    <row r="8" spans="2:33" x14ac:dyDescent="0.3">
      <c r="C8" s="103" t="s">
        <v>38</v>
      </c>
      <c r="D8" s="34">
        <v>0.112</v>
      </c>
      <c r="E8" s="110"/>
      <c r="H8" s="111"/>
      <c r="I8" s="40" t="s">
        <v>39</v>
      </c>
      <c r="J8" s="40" t="s">
        <v>40</v>
      </c>
      <c r="K8" s="40" t="s">
        <v>41</v>
      </c>
      <c r="AC8" s="100"/>
    </row>
    <row r="9" spans="2:33" x14ac:dyDescent="0.3">
      <c r="C9" s="112" t="s">
        <v>42</v>
      </c>
      <c r="D9" s="89">
        <v>5</v>
      </c>
      <c r="H9" s="113" t="s">
        <v>43</v>
      </c>
      <c r="I9" s="30">
        <v>24</v>
      </c>
      <c r="J9" s="30">
        <v>14</v>
      </c>
      <c r="K9" s="30">
        <v>5</v>
      </c>
      <c r="AC9" s="100"/>
    </row>
    <row r="10" spans="2:33" ht="16.2" x14ac:dyDescent="0.3">
      <c r="C10" s="114" t="s">
        <v>44</v>
      </c>
      <c r="D10" s="37">
        <v>0.28999999999999998</v>
      </c>
      <c r="H10" s="115" t="s">
        <v>45</v>
      </c>
      <c r="I10" s="39">
        <v>0.15</v>
      </c>
      <c r="J10" s="39">
        <v>0.15</v>
      </c>
      <c r="K10" s="39">
        <v>0.7</v>
      </c>
      <c r="N10" s="100"/>
      <c r="AC10" s="100"/>
    </row>
    <row r="11" spans="2:33" x14ac:dyDescent="0.3">
      <c r="C11" s="116" t="s">
        <v>46</v>
      </c>
      <c r="D11" s="35">
        <v>0.1</v>
      </c>
      <c r="H11" s="117" t="s">
        <v>47</v>
      </c>
      <c r="I11" s="125">
        <f>I9*I10+J9*J10+K9*K10</f>
        <v>9.1999999999999993</v>
      </c>
      <c r="L11" s="118"/>
      <c r="M11" s="110"/>
      <c r="N11" s="100"/>
      <c r="AC11" s="100"/>
    </row>
    <row r="12" spans="2:33" x14ac:dyDescent="0.3">
      <c r="C12" s="114" t="s">
        <v>48</v>
      </c>
      <c r="D12" s="36">
        <v>0.15</v>
      </c>
      <c r="N12" s="100"/>
      <c r="AC12" s="100"/>
    </row>
    <row r="13" spans="2:33" x14ac:dyDescent="0.3">
      <c r="C13" s="114" t="s">
        <v>49</v>
      </c>
      <c r="D13" s="36">
        <v>0.05</v>
      </c>
      <c r="N13" s="100"/>
      <c r="AC13" s="100"/>
    </row>
    <row r="14" spans="2:33" x14ac:dyDescent="0.3">
      <c r="C14" s="119" t="s">
        <v>50</v>
      </c>
      <c r="D14" s="38">
        <v>0.05</v>
      </c>
      <c r="N14" s="100"/>
      <c r="AC14" s="100"/>
    </row>
    <row r="15" spans="2:33" x14ac:dyDescent="0.3">
      <c r="N15" s="100"/>
      <c r="AC15" s="100"/>
    </row>
    <row r="16" spans="2:33" ht="21" x14ac:dyDescent="0.4">
      <c r="N16" s="120" t="s">
        <v>51</v>
      </c>
      <c r="O16" s="120"/>
      <c r="P16" s="121"/>
      <c r="Q16" s="121"/>
      <c r="R16" s="121"/>
      <c r="S16" s="121"/>
      <c r="T16" s="121"/>
      <c r="U16" s="121"/>
      <c r="V16" s="121"/>
      <c r="W16" s="121"/>
      <c r="X16" s="121"/>
      <c r="Y16" s="121"/>
      <c r="AC16" s="122" t="s">
        <v>51</v>
      </c>
      <c r="AD16" s="122"/>
      <c r="AE16" s="122"/>
      <c r="AF16" s="122"/>
      <c r="AG16" s="122"/>
    </row>
    <row r="17" spans="2:33" s="123" customFormat="1" ht="21" x14ac:dyDescent="0.4">
      <c r="B17" s="123" t="s">
        <v>52</v>
      </c>
      <c r="N17" s="72">
        <f>SUM(N19:N118)</f>
        <v>0</v>
      </c>
      <c r="O17" s="72">
        <f>SUM(O19:O118)</f>
        <v>0</v>
      </c>
      <c r="P17" s="72">
        <f>N17-O17</f>
        <v>0</v>
      </c>
      <c r="Q17" s="72"/>
      <c r="R17" s="73">
        <f>SUM(R19:R118)</f>
        <v>0</v>
      </c>
      <c r="S17" s="73">
        <f>SUM(S19:S118)</f>
        <v>0</v>
      </c>
      <c r="T17" s="73">
        <f t="shared" ref="T17:U17" si="0">SUM(T19:T118)</f>
        <v>0</v>
      </c>
      <c r="U17" s="73">
        <f t="shared" si="0"/>
        <v>0</v>
      </c>
      <c r="V17" s="73">
        <f t="shared" ref="V17:Y17" si="1">SUM(V19:V118)</f>
        <v>0</v>
      </c>
      <c r="W17" s="73">
        <f t="shared" si="1"/>
        <v>0</v>
      </c>
      <c r="X17" s="90" t="e">
        <f>AVERAGEIF(X19:X118,"&gt;0")</f>
        <v>#DIV/0!</v>
      </c>
      <c r="Y17" s="90">
        <f t="shared" si="1"/>
        <v>0</v>
      </c>
      <c r="AC17" s="74">
        <f>SUM(AC19:AC116)</f>
        <v>0</v>
      </c>
      <c r="AD17" s="74">
        <f>SUM(AD19:AD116)</f>
        <v>0</v>
      </c>
      <c r="AE17" s="75">
        <f>SUM(AE19:AE116)</f>
        <v>0</v>
      </c>
      <c r="AF17" s="75">
        <f>SUM(AF19:AF116)</f>
        <v>0</v>
      </c>
      <c r="AG17" s="91" t="e">
        <f>AF17/AE17</f>
        <v>#DIV/0!</v>
      </c>
    </row>
    <row r="18" spans="2:33" s="124" customFormat="1" ht="57.6" x14ac:dyDescent="0.3">
      <c r="B18" s="28" t="s">
        <v>36</v>
      </c>
      <c r="C18" s="28" t="s">
        <v>53</v>
      </c>
      <c r="D18" s="28" t="s">
        <v>54</v>
      </c>
      <c r="E18" s="28" t="s">
        <v>55</v>
      </c>
      <c r="F18" s="28" t="s">
        <v>56</v>
      </c>
      <c r="G18" s="28" t="s">
        <v>57</v>
      </c>
      <c r="H18" s="28" t="s">
        <v>58</v>
      </c>
      <c r="I18" s="28" t="s">
        <v>59</v>
      </c>
      <c r="J18" s="28" t="s">
        <v>60</v>
      </c>
      <c r="K18" s="28" t="s">
        <v>61</v>
      </c>
      <c r="L18" s="28" t="s">
        <v>62</v>
      </c>
      <c r="M18" s="28" t="s">
        <v>63</v>
      </c>
      <c r="N18" s="28" t="s">
        <v>64</v>
      </c>
      <c r="O18" s="28" t="s">
        <v>65</v>
      </c>
      <c r="P18" s="28" t="s">
        <v>66</v>
      </c>
      <c r="Q18" s="28" t="s">
        <v>67</v>
      </c>
      <c r="R18" s="28" t="s">
        <v>68</v>
      </c>
      <c r="S18" s="28" t="s">
        <v>69</v>
      </c>
      <c r="T18" s="28" t="s">
        <v>70</v>
      </c>
      <c r="U18" s="28" t="s">
        <v>71</v>
      </c>
      <c r="V18" s="28" t="s">
        <v>72</v>
      </c>
      <c r="W18" s="28" t="s">
        <v>73</v>
      </c>
      <c r="X18" s="28" t="s">
        <v>74</v>
      </c>
      <c r="Y18" s="28" t="s">
        <v>75</v>
      </c>
      <c r="AA18" s="28" t="s">
        <v>76</v>
      </c>
      <c r="AB18" s="28" t="s">
        <v>77</v>
      </c>
      <c r="AC18" s="28" t="s">
        <v>78</v>
      </c>
      <c r="AD18" s="28" t="s">
        <v>79</v>
      </c>
      <c r="AE18" s="28" t="s">
        <v>80</v>
      </c>
      <c r="AF18" s="28" t="s">
        <v>81</v>
      </c>
      <c r="AG18" s="28" t="s">
        <v>82</v>
      </c>
    </row>
    <row r="19" spans="2:33" x14ac:dyDescent="0.3">
      <c r="B19" s="84"/>
      <c r="C19" s="31"/>
      <c r="D19" s="85"/>
      <c r="E19" s="31"/>
      <c r="F19" s="31"/>
      <c r="G19" s="31"/>
      <c r="H19" s="31"/>
      <c r="I19" s="31"/>
      <c r="J19" s="31"/>
      <c r="K19" s="31"/>
      <c r="L19" s="76">
        <f>D19*SUMIFS('Lighting Power Density'!$E$3:$E$50,'Lighting Power Density'!$A$3:$A$50,'LED Lighting Estimator'!E19,'Lighting Power Density'!$B$3:$B$50,'LED Lighting Estimator'!G19,'Lighting Power Density'!$C$3:$C$50,'LED Lighting Estimator'!H19)/1000</f>
        <v>0</v>
      </c>
      <c r="M19" s="76">
        <f>D19*SUMIFS('Lighting Power Density'!$E$3:$E$50,'Lighting Power Density'!$A$3:$A$50,'LED Lighting Estimator'!E19,'Lighting Power Density'!$B$3:$B$50,"LED",'Lighting Power Density'!$C$3:$C$50,'LED Lighting Estimator'!H19)/1000</f>
        <v>0</v>
      </c>
      <c r="N19" s="54">
        <f>IFERROR(I19*365.25*L19*J19/7,0)</f>
        <v>0</v>
      </c>
      <c r="O19" s="58">
        <f>IFERROR(I19*365.25*M19*J19/7,0)*(1-IF(K19="Yes",SUMIFS('Control Benefit'!$C$12:$C$29,'Control Benefit'!$A$12:$A$29,'LED Lighting Estimator'!$D$5,'Control Benefit'!$B$12:$B$29,'LED Lighting Estimator'!$F19),0))</f>
        <v>0</v>
      </c>
      <c r="P19" s="76" t="str">
        <f>IFERROR((I19*365.25)/SUMIFS('Lighting Power Density'!$F$3:$F$50,'Lighting Power Density'!$A$3:$A$50,'LED Lighting Estimator'!$E19,'Lighting Power Density'!$B$3:$B$50,'LED Lighting Estimator'!$G19,'Lighting Power Density'!$C$3:$C$50,'LED Lighting Estimator'!$H19),"-")</f>
        <v>-</v>
      </c>
      <c r="Q19" s="76" t="str">
        <f>IFERROR((I19*365.25)/SUMIFS('Lighting Power Density'!$F$3:$F$50,'Lighting Power Density'!$A$3:$A$50,'LED Lighting Estimator'!$E19,'Lighting Power Density'!$B$3:$B$50,"LED",'Lighting Power Density'!$C$3:$C$50,'LED Lighting Estimator'!$H19),"-")</f>
        <v>-</v>
      </c>
      <c r="R19" s="55">
        <f>N19*$D$8</f>
        <v>0</v>
      </c>
      <c r="S19" s="55">
        <f>O19*$D$8</f>
        <v>0</v>
      </c>
      <c r="T19" s="55">
        <f>M19*IFERROR(SUMIFS('LED Costs'!$C$4:$C$22,'LED Costs'!$A$4:$A$22,'LED Lighting Estimator'!$D$5,'LED Costs'!$B$4:$B$22,'LED Lighting Estimator'!$F19)*1000,0)-IF($K19="No",$D19*SUMIFS('Control Benefit'!$E$12:$E$29,'Control Benefit'!$A$12:$A$29,'LED Lighting Estimator'!$D$5,'Control Benefit'!$B$12:$B$29,'LED Lighting Estimator'!$F19),0)</f>
        <v>0</v>
      </c>
      <c r="U19" s="55">
        <f>(T19+($D$10*D19))*(1+$D$11)*(1+$D$12)*(1+$D$13)*(1+$D$14)</f>
        <v>0</v>
      </c>
      <c r="V19" s="55">
        <f>IFERROR(D19*P19*(SUMIFS('Other Costs'!$F$2:$F$19,'Other Costs'!$A$2:$A$19,'LED Lighting Estimator'!G19,'Other Costs'!$C$2:$C$19,'LED Lighting Estimator'!H19)+$D$9),0)</f>
        <v>0</v>
      </c>
      <c r="W19" s="56">
        <f>IFERROR(D19*Q19*(M19*SUMIFS('LED Costs'!$C$4:$C$22,'LED Costs'!$A$4:$A$22,$D$5,'LED Costs'!$B$4:$B$22,'LED Lighting Estimator'!$F19)/1000+'LED Lighting Estimator'!$D$9),0)</f>
        <v>0</v>
      </c>
      <c r="X19" s="57">
        <f>IFERROR(U19/((R19+V19)-(S19+W19)),0)</f>
        <v>0</v>
      </c>
      <c r="Y19" s="57">
        <f>IFERROR(($N19-$O19)*'Emission factors'!$D$4,0)</f>
        <v>0</v>
      </c>
      <c r="AA19" s="33"/>
      <c r="AB19" s="33"/>
      <c r="AC19" s="66" t="str">
        <f>IFERROR(D19*INDEX('BEES Data'!$B$6:$AL$9,MATCH('LED Lighting Estimator'!AB19,'BEES Data'!$A$6:$A$9,0),MATCH('LED Lighting Estimator'!AA19,'BEES Data'!$B$5:$AL$5,0)),"-")</f>
        <v>-</v>
      </c>
      <c r="AD19" s="66">
        <f>IFERROR(AC19*INDEX('BEES Data'!$B$14:$AL$14,1,MATCH('LED Lighting Estimator'!AA19,'BEES Data'!$B$5:$AL$5,0)),0)</f>
        <v>0</v>
      </c>
      <c r="AE19" s="67">
        <f>AD19*$D$8</f>
        <v>0</v>
      </c>
      <c r="AF19" s="67">
        <f>IFERROR(AD19*INDEX('BEES Data'!$B$15:$AL$15,1,MATCH('LED Lighting Estimator'!AA19,'BEES Data'!$B$5:$AL$5)),0)</f>
        <v>0</v>
      </c>
      <c r="AG19" s="92">
        <f>IFERROR(AF19/AE19,0)</f>
        <v>0</v>
      </c>
    </row>
    <row r="20" spans="2:33" x14ac:dyDescent="0.3">
      <c r="B20" s="84"/>
      <c r="C20" s="31"/>
      <c r="D20" s="85"/>
      <c r="E20" s="31"/>
      <c r="F20" s="31"/>
      <c r="G20" s="31"/>
      <c r="H20" s="31"/>
      <c r="I20" s="31"/>
      <c r="J20" s="31"/>
      <c r="K20" s="31"/>
      <c r="L20" s="86">
        <f>D20*SUMIFS('Lighting Power Density'!$E$3:$E$50,'Lighting Power Density'!$A$3:$A$50,'LED Lighting Estimator'!E20,'Lighting Power Density'!$B$3:$B$50,'LED Lighting Estimator'!G20,'Lighting Power Density'!$C$3:$C$50,'LED Lighting Estimator'!H20)/1000</f>
        <v>0</v>
      </c>
      <c r="M20" s="86">
        <f>D20*SUMIFS('Lighting Power Density'!$E$3:$E$50,'Lighting Power Density'!$A$3:$A$50,'LED Lighting Estimator'!E20,'Lighting Power Density'!$B$3:$B$50,"LED",'Lighting Power Density'!$C$3:$C$50,'LED Lighting Estimator'!H20)/1000</f>
        <v>0</v>
      </c>
      <c r="N20" s="58">
        <f t="shared" ref="N20:N83" si="2">IFERROR(I20*365.25*L20*J20/7,0)</f>
        <v>0</v>
      </c>
      <c r="O20" s="58">
        <f>IFERROR(I20*365.25*M20*J20/7,0)*(1-IF(K20="Yes",SUMIFS('Control Benefit'!$C$12:$C$29,'Control Benefit'!$A$12:$A$29,'LED Lighting Estimator'!$D$5,'Control Benefit'!$B$12:$B$29,'LED Lighting Estimator'!$F20),0))</f>
        <v>0</v>
      </c>
      <c r="P20" s="86" t="str">
        <f>IFERROR((I20*365.25)/SUMIFS('Lighting Power Density'!$F$3:$F$50,'Lighting Power Density'!$A$3:$A$50,'LED Lighting Estimator'!$E20,'Lighting Power Density'!$B$3:$B$50,'LED Lighting Estimator'!$G20,'Lighting Power Density'!$C$3:$C$50,'LED Lighting Estimator'!$H20),"-")</f>
        <v>-</v>
      </c>
      <c r="Q20" s="86" t="str">
        <f>IFERROR((I20*365.25)/SUMIFS('Lighting Power Density'!$F$3:$F$50,'Lighting Power Density'!$A$3:$A$50,'LED Lighting Estimator'!$E20,'Lighting Power Density'!$B$3:$B$50,"LED",'Lighting Power Density'!$C$3:$C$50,'LED Lighting Estimator'!$H20),"-")</f>
        <v>-</v>
      </c>
      <c r="R20" s="59">
        <f t="shared" ref="R20:R50" si="3">N20*$D$8</f>
        <v>0</v>
      </c>
      <c r="S20" s="59">
        <f>O20*$D$8</f>
        <v>0</v>
      </c>
      <c r="T20" s="59">
        <f>M20*IFERROR(SUMIFS('LED Costs'!$C$4:$C$22,'LED Costs'!$A$4:$A$22,'LED Lighting Estimator'!$D$5,'LED Costs'!$B$4:$B$22,'LED Lighting Estimator'!$F20)*1000,0)-IF($K20="No",$D20*SUMIFS('Control Benefit'!$E$12:$E$29,'Control Benefit'!$A$12:$A$29,'LED Lighting Estimator'!$D$5,'Control Benefit'!$B$12:$B$29,'LED Lighting Estimator'!$F20),0)</f>
        <v>0</v>
      </c>
      <c r="U20" s="59">
        <f t="shared" ref="U20:U83" si="4">(T20+($D$10*D20))*(1+$D$11)*(1+$D$12)*(1+$D$13)*(1+$D$14)</f>
        <v>0</v>
      </c>
      <c r="V20" s="59">
        <f>IFERROR(D20*P20*(SUMIFS('Other Costs'!$F$2:$F$19,'Other Costs'!$A$2:$A$19,'LED Lighting Estimator'!G20,'Other Costs'!$C$2:$C$19,'LED Lighting Estimator'!H20)+$D$9),0)</f>
        <v>0</v>
      </c>
      <c r="W20" s="60">
        <f>IFERROR(D20*Q20*(M20*SUMIFS('LED Costs'!$C$4:$C$22,'LED Costs'!$A$4:$A$22,$D$5,'LED Costs'!$B$4:$B$22,'LED Lighting Estimator'!$F20)/1000+'LED Lighting Estimator'!$D$9),0)</f>
        <v>0</v>
      </c>
      <c r="X20" s="61">
        <f t="shared" ref="X20:X83" si="5">IFERROR(T20/((R20+V20)-(S20+W20)),0)</f>
        <v>0</v>
      </c>
      <c r="Y20" s="61">
        <f>IFERROR(($N20-$O20)*'Emission factors'!$D$4,0)</f>
        <v>0</v>
      </c>
      <c r="AA20" s="84"/>
      <c r="AB20" s="84"/>
      <c r="AC20" s="68" t="str">
        <f>IFERROR(D20*INDEX('BEES Data'!$B$6:$AL$9,MATCH('LED Lighting Estimator'!AB20,'BEES Data'!$A$6:$A$9,0),MATCH('LED Lighting Estimator'!AA20,'BEES Data'!$B$5:$AL$5,0)),"-")</f>
        <v>-</v>
      </c>
      <c r="AD20" s="68">
        <f>IFERROR(AC20*INDEX('BEES Data'!$B$14:$AL$14,1,MATCH('LED Lighting Estimator'!AA20,'BEES Data'!$B$5:$AL$5,0)),0)</f>
        <v>0</v>
      </c>
      <c r="AE20" s="69">
        <f t="shared" ref="AE20:AE50" si="6">AD20*$D$8</f>
        <v>0</v>
      </c>
      <c r="AF20" s="69">
        <f>IFERROR(AD20*INDEX('BEES Data'!$B$15:$AL$15,1,MATCH('LED Lighting Estimator'!AA20,'BEES Data'!$B$5:$AL$5)),0)</f>
        <v>0</v>
      </c>
      <c r="AG20" s="93">
        <f t="shared" ref="AG20:AG28" si="7">IFERROR(AF20/AE20,0)</f>
        <v>0</v>
      </c>
    </row>
    <row r="21" spans="2:33" x14ac:dyDescent="0.3">
      <c r="B21" s="84"/>
      <c r="C21" s="31"/>
      <c r="D21" s="85"/>
      <c r="E21" s="31"/>
      <c r="F21" s="31"/>
      <c r="G21" s="31"/>
      <c r="H21" s="31"/>
      <c r="I21" s="31"/>
      <c r="J21" s="31"/>
      <c r="K21" s="31"/>
      <c r="L21" s="86">
        <f>D21*SUMIFS('Lighting Power Density'!$E$3:$E$50,'Lighting Power Density'!$A$3:$A$50,'LED Lighting Estimator'!E21,'Lighting Power Density'!$B$3:$B$50,'LED Lighting Estimator'!G21,'Lighting Power Density'!$C$3:$C$50,'LED Lighting Estimator'!H21)/1000</f>
        <v>0</v>
      </c>
      <c r="M21" s="86">
        <f>D21*SUMIFS('Lighting Power Density'!$E$3:$E$50,'Lighting Power Density'!$A$3:$A$50,'LED Lighting Estimator'!E21,'Lighting Power Density'!$B$3:$B$50,"LED",'Lighting Power Density'!$C$3:$C$50,'LED Lighting Estimator'!H21)/1000</f>
        <v>0</v>
      </c>
      <c r="N21" s="58">
        <f t="shared" si="2"/>
        <v>0</v>
      </c>
      <c r="O21" s="58">
        <f>IFERROR(I21*365.25*M21*J21/7,0)*(1-IF(K21="Yes",SUMIFS('Control Benefit'!$C$12:$C$29,'Control Benefit'!$A$12:$A$29,'LED Lighting Estimator'!$D$5,'Control Benefit'!$B$12:$B$29,'LED Lighting Estimator'!$F21),0))</f>
        <v>0</v>
      </c>
      <c r="P21" s="86" t="str">
        <f>IFERROR((I21*365.25)/SUMIFS('Lighting Power Density'!$F$3:$F$50,'Lighting Power Density'!$A$3:$A$50,'LED Lighting Estimator'!$E21,'Lighting Power Density'!$B$3:$B$50,'LED Lighting Estimator'!$G21,'Lighting Power Density'!$C$3:$C$50,'LED Lighting Estimator'!$H21),"-")</f>
        <v>-</v>
      </c>
      <c r="Q21" s="86" t="str">
        <f>IFERROR((I21*365.25)/SUMIFS('Lighting Power Density'!$F$3:$F$50,'Lighting Power Density'!$A$3:$A$50,'LED Lighting Estimator'!$E21,'Lighting Power Density'!$B$3:$B$50,"LED",'Lighting Power Density'!$C$3:$C$50,'LED Lighting Estimator'!$H21),"-")</f>
        <v>-</v>
      </c>
      <c r="R21" s="59">
        <f t="shared" si="3"/>
        <v>0</v>
      </c>
      <c r="S21" s="59">
        <f t="shared" ref="S21:S50" si="8">O21*$D$8</f>
        <v>0</v>
      </c>
      <c r="T21" s="59">
        <f>M21*IFERROR(SUMIFS('LED Costs'!$C$4:$C$22,'LED Costs'!$A$4:$A$22,'LED Lighting Estimator'!$D$5,'LED Costs'!$B$4:$B$22,'LED Lighting Estimator'!$F21)*1000,0)-IF($K21="No",$D21*SUMIFS('Control Benefit'!$E$12:$E$29,'Control Benefit'!$A$12:$A$29,'LED Lighting Estimator'!$D$5,'Control Benefit'!$B$12:$B$29,'LED Lighting Estimator'!$F21),0)</f>
        <v>0</v>
      </c>
      <c r="U21" s="59">
        <f t="shared" si="4"/>
        <v>0</v>
      </c>
      <c r="V21" s="59">
        <f>IFERROR(D21*P21*(SUMIFS('Other Costs'!$F$2:$F$19,'Other Costs'!$A$2:$A$19,'LED Lighting Estimator'!G21,'Other Costs'!$C$2:$C$19,'LED Lighting Estimator'!H21)+$D$9),0)</f>
        <v>0</v>
      </c>
      <c r="W21" s="60">
        <f>IFERROR(D21*Q21*(M21*SUMIFS('LED Costs'!$C$4:$C$22,'LED Costs'!$A$4:$A$22,$D$5,'LED Costs'!$B$4:$B$22,'LED Lighting Estimator'!$F21)/1000+'LED Lighting Estimator'!$D$9),0)</f>
        <v>0</v>
      </c>
      <c r="X21" s="61">
        <f t="shared" si="5"/>
        <v>0</v>
      </c>
      <c r="Y21" s="61">
        <f>IFERROR(($N21-$O21)*'Emission factors'!$D$4,0)</f>
        <v>0</v>
      </c>
      <c r="AA21" s="84"/>
      <c r="AB21" s="84"/>
      <c r="AC21" s="68" t="str">
        <f>IFERROR(D21*INDEX('BEES Data'!$B$6:$AL$9,MATCH('LED Lighting Estimator'!AB21,'BEES Data'!$A$6:$A$9,0),MATCH('LED Lighting Estimator'!AA21,'BEES Data'!$B$5:$AL$5,0)),"-")</f>
        <v>-</v>
      </c>
      <c r="AD21" s="68">
        <f>IFERROR(AC21*INDEX('BEES Data'!$B$14:$AL$14,1,MATCH('LED Lighting Estimator'!AA21,'BEES Data'!$B$5:$AL$5,0)),0)</f>
        <v>0</v>
      </c>
      <c r="AE21" s="69">
        <f t="shared" si="6"/>
        <v>0</v>
      </c>
      <c r="AF21" s="69">
        <f>IFERROR(AD21*INDEX('BEES Data'!$B$15:$AL$15,1,MATCH('LED Lighting Estimator'!AA21,'BEES Data'!$B$5:$AL$5)),0)</f>
        <v>0</v>
      </c>
      <c r="AG21" s="93">
        <f t="shared" si="7"/>
        <v>0</v>
      </c>
    </row>
    <row r="22" spans="2:33" x14ac:dyDescent="0.3">
      <c r="B22" s="84"/>
      <c r="C22" s="31"/>
      <c r="D22" s="85"/>
      <c r="E22" s="31"/>
      <c r="F22" s="31"/>
      <c r="G22" s="31"/>
      <c r="H22" s="31"/>
      <c r="I22" s="31"/>
      <c r="J22" s="31"/>
      <c r="K22" s="31"/>
      <c r="L22" s="86">
        <f>D22*SUMIFS('Lighting Power Density'!$E$3:$E$50,'Lighting Power Density'!$A$3:$A$50,'LED Lighting Estimator'!E22,'Lighting Power Density'!$B$3:$B$50,'LED Lighting Estimator'!G22,'Lighting Power Density'!$C$3:$C$50,'LED Lighting Estimator'!H22)/1000</f>
        <v>0</v>
      </c>
      <c r="M22" s="86">
        <f>D22*SUMIFS('Lighting Power Density'!$E$3:$E$50,'Lighting Power Density'!$A$3:$A$50,'LED Lighting Estimator'!E22,'Lighting Power Density'!$B$3:$B$50,"LED",'Lighting Power Density'!$C$3:$C$50,'LED Lighting Estimator'!H22)/1000</f>
        <v>0</v>
      </c>
      <c r="N22" s="58">
        <f t="shared" si="2"/>
        <v>0</v>
      </c>
      <c r="O22" s="58">
        <f>IFERROR(I22*365.25*M22*J22/7,0)*(1-IF(K22="Yes",SUMIFS('Control Benefit'!$C$12:$C$29,'Control Benefit'!$A$12:$A$29,'LED Lighting Estimator'!$D$5,'Control Benefit'!$B$12:$B$29,'LED Lighting Estimator'!$F22),0))</f>
        <v>0</v>
      </c>
      <c r="P22" s="86" t="str">
        <f>IFERROR((I22*365.25)/SUMIFS('Lighting Power Density'!$F$3:$F$50,'Lighting Power Density'!$A$3:$A$50,'LED Lighting Estimator'!$E22,'Lighting Power Density'!$B$3:$B$50,'LED Lighting Estimator'!$G22,'Lighting Power Density'!$C$3:$C$50,'LED Lighting Estimator'!$H22),"-")</f>
        <v>-</v>
      </c>
      <c r="Q22" s="86" t="str">
        <f>IFERROR((I22*365.25)/SUMIFS('Lighting Power Density'!$F$3:$F$50,'Lighting Power Density'!$A$3:$A$50,'LED Lighting Estimator'!$E22,'Lighting Power Density'!$B$3:$B$50,"LED",'Lighting Power Density'!$C$3:$C$50,'LED Lighting Estimator'!$H22),"-")</f>
        <v>-</v>
      </c>
      <c r="R22" s="59">
        <f t="shared" si="3"/>
        <v>0</v>
      </c>
      <c r="S22" s="59">
        <f t="shared" si="8"/>
        <v>0</v>
      </c>
      <c r="T22" s="59">
        <f>M22*IFERROR(SUMIFS('LED Costs'!$C$4:$C$22,'LED Costs'!$A$4:$A$22,'LED Lighting Estimator'!$D$5,'LED Costs'!$B$4:$B$22,'LED Lighting Estimator'!$F22)*1000,0)-IF($K22="No",$D22*SUMIFS('Control Benefit'!$E$12:$E$29,'Control Benefit'!$A$12:$A$29,'LED Lighting Estimator'!$D$5,'Control Benefit'!$B$12:$B$29,'LED Lighting Estimator'!$F22),0)</f>
        <v>0</v>
      </c>
      <c r="U22" s="59">
        <f t="shared" si="4"/>
        <v>0</v>
      </c>
      <c r="V22" s="59">
        <f>IFERROR(D22*P22*(SUMIFS('Other Costs'!$F$2:$F$19,'Other Costs'!$A$2:$A$19,'LED Lighting Estimator'!G22,'Other Costs'!$C$2:$C$19,'LED Lighting Estimator'!H22)+$D$9),0)</f>
        <v>0</v>
      </c>
      <c r="W22" s="60">
        <f>IFERROR(D22*Q22*(M22*SUMIFS('LED Costs'!$C$4:$C$22,'LED Costs'!$A$4:$A$22,$D$5,'LED Costs'!$B$4:$B$22,'LED Lighting Estimator'!$F22)/1000+'LED Lighting Estimator'!$D$9),0)</f>
        <v>0</v>
      </c>
      <c r="X22" s="61">
        <f t="shared" si="5"/>
        <v>0</v>
      </c>
      <c r="Y22" s="61">
        <f>IFERROR(($N22-$O22)*'Emission factors'!$D$4,0)</f>
        <v>0</v>
      </c>
      <c r="AA22" s="84"/>
      <c r="AB22" s="84"/>
      <c r="AC22" s="68" t="str">
        <f>IFERROR(D22*INDEX('BEES Data'!$B$6:$AL$9,MATCH('LED Lighting Estimator'!AB22,'BEES Data'!$A$6:$A$9,0),MATCH('LED Lighting Estimator'!AA22,'BEES Data'!$B$5:$AL$5,0)),"-")</f>
        <v>-</v>
      </c>
      <c r="AD22" s="68">
        <f>IFERROR(AC22*INDEX('BEES Data'!$B$14:$AL$14,1,MATCH('LED Lighting Estimator'!AA22,'BEES Data'!$B$5:$AL$5,0)),0)</f>
        <v>0</v>
      </c>
      <c r="AE22" s="69">
        <f t="shared" si="6"/>
        <v>0</v>
      </c>
      <c r="AF22" s="69">
        <f>IFERROR(AD22*INDEX('BEES Data'!$B$15:$AL$15,1,MATCH('LED Lighting Estimator'!AA22,'BEES Data'!$B$5:$AL$5)),0)</f>
        <v>0</v>
      </c>
      <c r="AG22" s="93">
        <f t="shared" si="7"/>
        <v>0</v>
      </c>
    </row>
    <row r="23" spans="2:33" x14ac:dyDescent="0.3">
      <c r="B23" s="84"/>
      <c r="C23" s="31"/>
      <c r="D23" s="85"/>
      <c r="E23" s="31"/>
      <c r="F23" s="31"/>
      <c r="G23" s="31"/>
      <c r="H23" s="31"/>
      <c r="I23" s="31"/>
      <c r="J23" s="31"/>
      <c r="K23" s="31"/>
      <c r="L23" s="86">
        <f>D23*SUMIFS('Lighting Power Density'!$E$3:$E$50,'Lighting Power Density'!$A$3:$A$50,'LED Lighting Estimator'!E23,'Lighting Power Density'!$B$3:$B$50,'LED Lighting Estimator'!G23,'Lighting Power Density'!$C$3:$C$50,'LED Lighting Estimator'!H23)/1000</f>
        <v>0</v>
      </c>
      <c r="M23" s="86">
        <f>D23*SUMIFS('Lighting Power Density'!$E$3:$E$50,'Lighting Power Density'!$A$3:$A$50,'LED Lighting Estimator'!E23,'Lighting Power Density'!$B$3:$B$50,"LED",'Lighting Power Density'!$C$3:$C$50,'LED Lighting Estimator'!H23)/1000</f>
        <v>0</v>
      </c>
      <c r="N23" s="58">
        <f t="shared" si="2"/>
        <v>0</v>
      </c>
      <c r="O23" s="58">
        <f>IFERROR(I23*365.25*M23*J23/7,0)*(1-IF(K23="Yes",SUMIFS('Control Benefit'!$C$12:$C$29,'Control Benefit'!$A$12:$A$29,'LED Lighting Estimator'!$D$5,'Control Benefit'!$B$12:$B$29,'LED Lighting Estimator'!$F23),0))</f>
        <v>0</v>
      </c>
      <c r="P23" s="86" t="str">
        <f>IFERROR((I23*365.25)/SUMIFS('Lighting Power Density'!$F$3:$F$50,'Lighting Power Density'!$A$3:$A$50,'LED Lighting Estimator'!$E23,'Lighting Power Density'!$B$3:$B$50,'LED Lighting Estimator'!$G23,'Lighting Power Density'!$C$3:$C$50,'LED Lighting Estimator'!$H23),"-")</f>
        <v>-</v>
      </c>
      <c r="Q23" s="86" t="str">
        <f>IFERROR((I23*365.25)/SUMIFS('Lighting Power Density'!$F$3:$F$50,'Lighting Power Density'!$A$3:$A$50,'LED Lighting Estimator'!$E23,'Lighting Power Density'!$B$3:$B$50,"LED",'Lighting Power Density'!$C$3:$C$50,'LED Lighting Estimator'!$H23),"-")</f>
        <v>-</v>
      </c>
      <c r="R23" s="59">
        <f t="shared" si="3"/>
        <v>0</v>
      </c>
      <c r="S23" s="59">
        <f t="shared" si="8"/>
        <v>0</v>
      </c>
      <c r="T23" s="59">
        <f>M23*IFERROR(SUMIFS('LED Costs'!$C$4:$C$22,'LED Costs'!$A$4:$A$22,'LED Lighting Estimator'!$D$5,'LED Costs'!$B$4:$B$22,'LED Lighting Estimator'!$F23)*1000,0)-IF($K23="No",$D23*SUMIFS('Control Benefit'!$E$12:$E$29,'Control Benefit'!$A$12:$A$29,'LED Lighting Estimator'!$D$5,'Control Benefit'!$B$12:$B$29,'LED Lighting Estimator'!$F23),0)</f>
        <v>0</v>
      </c>
      <c r="U23" s="59">
        <f t="shared" si="4"/>
        <v>0</v>
      </c>
      <c r="V23" s="59">
        <f>IFERROR(D23*P23*(SUMIFS('Other Costs'!$F$2:$F$19,'Other Costs'!$A$2:$A$19,'LED Lighting Estimator'!G23,'Other Costs'!$C$2:$C$19,'LED Lighting Estimator'!H23)+$D$9),0)</f>
        <v>0</v>
      </c>
      <c r="W23" s="60">
        <f>IFERROR(D23*Q23*(M23*SUMIFS('LED Costs'!$C$4:$C$22,'LED Costs'!$A$4:$A$22,$D$5,'LED Costs'!$B$4:$B$22,'LED Lighting Estimator'!$F23)/1000+'LED Lighting Estimator'!$D$9),0)</f>
        <v>0</v>
      </c>
      <c r="X23" s="61">
        <f t="shared" si="5"/>
        <v>0</v>
      </c>
      <c r="Y23" s="61">
        <f>IFERROR(($N23-$O23)*'Emission factors'!$D$4,0)</f>
        <v>0</v>
      </c>
      <c r="AA23" s="84"/>
      <c r="AB23" s="84"/>
      <c r="AC23" s="68" t="str">
        <f>IFERROR(D23*INDEX('BEES Data'!$B$6:$AL$9,MATCH('LED Lighting Estimator'!AB23,'BEES Data'!$A$6:$A$9,0),MATCH('LED Lighting Estimator'!AA23,'BEES Data'!$B$5:$AL$5,0)),"-")</f>
        <v>-</v>
      </c>
      <c r="AD23" s="68">
        <f>IFERROR(AC23*INDEX('BEES Data'!$B$14:$AL$14,1,MATCH('LED Lighting Estimator'!AA23,'BEES Data'!$B$5:$AL$5,0)),0)</f>
        <v>0</v>
      </c>
      <c r="AE23" s="69">
        <f t="shared" si="6"/>
        <v>0</v>
      </c>
      <c r="AF23" s="69">
        <f>IFERROR(AD23*INDEX('BEES Data'!$B$15:$AL$15,1,MATCH('LED Lighting Estimator'!AA23,'BEES Data'!$B$5:$AL$5)),0)</f>
        <v>0</v>
      </c>
      <c r="AG23" s="93">
        <f t="shared" si="7"/>
        <v>0</v>
      </c>
    </row>
    <row r="24" spans="2:33" x14ac:dyDescent="0.3">
      <c r="B24" s="84"/>
      <c r="C24" s="31"/>
      <c r="D24" s="85"/>
      <c r="E24" s="31"/>
      <c r="F24" s="31"/>
      <c r="G24" s="31"/>
      <c r="H24" s="31"/>
      <c r="I24" s="31"/>
      <c r="J24" s="31"/>
      <c r="K24" s="31"/>
      <c r="L24" s="86">
        <f>D24*SUMIFS('Lighting Power Density'!$E$3:$E$50,'Lighting Power Density'!$A$3:$A$50,'LED Lighting Estimator'!E24,'Lighting Power Density'!$B$3:$B$50,'LED Lighting Estimator'!G24,'Lighting Power Density'!$C$3:$C$50,'LED Lighting Estimator'!H24)/1000</f>
        <v>0</v>
      </c>
      <c r="M24" s="86">
        <f>D24*SUMIFS('Lighting Power Density'!$E$3:$E$50,'Lighting Power Density'!$A$3:$A$50,'LED Lighting Estimator'!E24,'Lighting Power Density'!$B$3:$B$50,"LED",'Lighting Power Density'!$C$3:$C$50,'LED Lighting Estimator'!H24)/1000</f>
        <v>0</v>
      </c>
      <c r="N24" s="58">
        <f t="shared" si="2"/>
        <v>0</v>
      </c>
      <c r="O24" s="58">
        <f>IFERROR(I24*365.25*M24*J24/7,0)*(1-IF(K24="Yes",SUMIFS('Control Benefit'!$C$12:$C$29,'Control Benefit'!$A$12:$A$29,'LED Lighting Estimator'!$D$5,'Control Benefit'!$B$12:$B$29,'LED Lighting Estimator'!$F24),0))</f>
        <v>0</v>
      </c>
      <c r="P24" s="86" t="str">
        <f>IFERROR((I24*365.25)/SUMIFS('Lighting Power Density'!$F$3:$F$50,'Lighting Power Density'!$A$3:$A$50,'LED Lighting Estimator'!$E24,'Lighting Power Density'!$B$3:$B$50,'LED Lighting Estimator'!$G24,'Lighting Power Density'!$C$3:$C$50,'LED Lighting Estimator'!$H24),"-")</f>
        <v>-</v>
      </c>
      <c r="Q24" s="86" t="str">
        <f>IFERROR((I24*365.25)/SUMIFS('Lighting Power Density'!$F$3:$F$50,'Lighting Power Density'!$A$3:$A$50,'LED Lighting Estimator'!$E24,'Lighting Power Density'!$B$3:$B$50,"LED",'Lighting Power Density'!$C$3:$C$50,'LED Lighting Estimator'!$H24),"-")</f>
        <v>-</v>
      </c>
      <c r="R24" s="59">
        <f t="shared" si="3"/>
        <v>0</v>
      </c>
      <c r="S24" s="59">
        <f t="shared" si="8"/>
        <v>0</v>
      </c>
      <c r="T24" s="59">
        <f>M24*IFERROR(SUMIFS('LED Costs'!$C$4:$C$22,'LED Costs'!$A$4:$A$22,'LED Lighting Estimator'!$D$5,'LED Costs'!$B$4:$B$22,'LED Lighting Estimator'!$F24)*1000,0)-IF($K24="No",$D24*SUMIFS('Control Benefit'!$E$12:$E$29,'Control Benefit'!$A$12:$A$29,'LED Lighting Estimator'!$D$5,'Control Benefit'!$B$12:$B$29,'LED Lighting Estimator'!$F24),0)</f>
        <v>0</v>
      </c>
      <c r="U24" s="59">
        <f t="shared" si="4"/>
        <v>0</v>
      </c>
      <c r="V24" s="59">
        <f>IFERROR(D24*P24*(SUMIFS('Other Costs'!$F$2:$F$19,'Other Costs'!$A$2:$A$19,'LED Lighting Estimator'!G24,'Other Costs'!$C$2:$C$19,'LED Lighting Estimator'!H24)+$D$9),0)</f>
        <v>0</v>
      </c>
      <c r="W24" s="60">
        <f>IFERROR(D24*Q24*(M24*SUMIFS('LED Costs'!$C$4:$C$22,'LED Costs'!$A$4:$A$22,$D$5,'LED Costs'!$B$4:$B$22,'LED Lighting Estimator'!$F24)/1000+'LED Lighting Estimator'!$D$9),0)</f>
        <v>0</v>
      </c>
      <c r="X24" s="61">
        <f t="shared" si="5"/>
        <v>0</v>
      </c>
      <c r="Y24" s="61">
        <f>IFERROR(($N24-$O24)*'Emission factors'!$D$4,0)</f>
        <v>0</v>
      </c>
      <c r="AA24" s="84"/>
      <c r="AB24" s="84"/>
      <c r="AC24" s="68" t="str">
        <f>IFERROR(D24*INDEX('BEES Data'!$B$6:$AL$9,MATCH('LED Lighting Estimator'!AB24,'BEES Data'!$A$6:$A$9,0),MATCH('LED Lighting Estimator'!AA24,'BEES Data'!$B$5:$AL$5,0)),"-")</f>
        <v>-</v>
      </c>
      <c r="AD24" s="68">
        <f>IFERROR(AC24*INDEX('BEES Data'!$B$14:$AL$14,1,MATCH('LED Lighting Estimator'!AA24,'BEES Data'!$B$5:$AL$5,0)),0)</f>
        <v>0</v>
      </c>
      <c r="AE24" s="69">
        <f t="shared" si="6"/>
        <v>0</v>
      </c>
      <c r="AF24" s="69">
        <f>IFERROR(AD24*INDEX('BEES Data'!$B$15:$AL$15,1,MATCH('LED Lighting Estimator'!AA24,'BEES Data'!$B$5:$AL$5)),0)</f>
        <v>0</v>
      </c>
      <c r="AG24" s="93">
        <f t="shared" si="7"/>
        <v>0</v>
      </c>
    </row>
    <row r="25" spans="2:33" x14ac:dyDescent="0.3">
      <c r="B25" s="84"/>
      <c r="C25" s="31"/>
      <c r="D25" s="85"/>
      <c r="E25" s="31"/>
      <c r="F25" s="31"/>
      <c r="G25" s="31"/>
      <c r="H25" s="31"/>
      <c r="I25" s="31"/>
      <c r="J25" s="31"/>
      <c r="K25" s="31"/>
      <c r="L25" s="86">
        <f>D25*SUMIFS('Lighting Power Density'!$E$3:$E$50,'Lighting Power Density'!$A$3:$A$50,'LED Lighting Estimator'!E25,'Lighting Power Density'!$B$3:$B$50,'LED Lighting Estimator'!G25,'Lighting Power Density'!$C$3:$C$50,'LED Lighting Estimator'!H25)/1000</f>
        <v>0</v>
      </c>
      <c r="M25" s="86">
        <f>D25*SUMIFS('Lighting Power Density'!$E$3:$E$50,'Lighting Power Density'!$A$3:$A$50,'LED Lighting Estimator'!E25,'Lighting Power Density'!$B$3:$B$50,"LED",'Lighting Power Density'!$C$3:$C$50,'LED Lighting Estimator'!H25)/1000</f>
        <v>0</v>
      </c>
      <c r="N25" s="58">
        <f t="shared" si="2"/>
        <v>0</v>
      </c>
      <c r="O25" s="58">
        <f>IFERROR(I25*365.25*M25*J25/7,0)*(1-IF(K25="Yes",SUMIFS('Control Benefit'!$C$12:$C$29,'Control Benefit'!$A$12:$A$29,'LED Lighting Estimator'!$D$5,'Control Benefit'!$B$12:$B$29,'LED Lighting Estimator'!$F25),0))</f>
        <v>0</v>
      </c>
      <c r="P25" s="86" t="str">
        <f>IFERROR((I25*365.25)/SUMIFS('Lighting Power Density'!$F$3:$F$50,'Lighting Power Density'!$A$3:$A$50,'LED Lighting Estimator'!$E25,'Lighting Power Density'!$B$3:$B$50,'LED Lighting Estimator'!$G25,'Lighting Power Density'!$C$3:$C$50,'LED Lighting Estimator'!$H25),"-")</f>
        <v>-</v>
      </c>
      <c r="Q25" s="86" t="str">
        <f>IFERROR((I25*365.25)/SUMIFS('Lighting Power Density'!$F$3:$F$50,'Lighting Power Density'!$A$3:$A$50,'LED Lighting Estimator'!$E25,'Lighting Power Density'!$B$3:$B$50,"LED",'Lighting Power Density'!$C$3:$C$50,'LED Lighting Estimator'!$H25),"-")</f>
        <v>-</v>
      </c>
      <c r="R25" s="59">
        <f t="shared" si="3"/>
        <v>0</v>
      </c>
      <c r="S25" s="59">
        <f t="shared" si="8"/>
        <v>0</v>
      </c>
      <c r="T25" s="59">
        <f>M25*IFERROR(SUMIFS('LED Costs'!$C$4:$C$22,'LED Costs'!$A$4:$A$22,'LED Lighting Estimator'!$D$5,'LED Costs'!$B$4:$B$22,'LED Lighting Estimator'!$F25)*1000,0)-IF($K25="No",$D25*SUMIFS('Control Benefit'!$E$12:$E$29,'Control Benefit'!$A$12:$A$29,'LED Lighting Estimator'!$D$5,'Control Benefit'!$B$12:$B$29,'LED Lighting Estimator'!$F25),0)</f>
        <v>0</v>
      </c>
      <c r="U25" s="59">
        <f t="shared" si="4"/>
        <v>0</v>
      </c>
      <c r="V25" s="59">
        <f>IFERROR(D25*P25*(SUMIFS('Other Costs'!$F$2:$F$19,'Other Costs'!$A$2:$A$19,'LED Lighting Estimator'!G25,'Other Costs'!$C$2:$C$19,'LED Lighting Estimator'!H25)+$D$9),0)</f>
        <v>0</v>
      </c>
      <c r="W25" s="60">
        <f>IFERROR(D25*Q25*(M25*SUMIFS('LED Costs'!$C$4:$C$22,'LED Costs'!$A$4:$A$22,$D$5,'LED Costs'!$B$4:$B$22,'LED Lighting Estimator'!$F25)/1000+'LED Lighting Estimator'!$D$9),0)</f>
        <v>0</v>
      </c>
      <c r="X25" s="61">
        <f t="shared" si="5"/>
        <v>0</v>
      </c>
      <c r="Y25" s="61">
        <f>IFERROR(($N25-$O25)*'Emission factors'!$D$4,0)</f>
        <v>0</v>
      </c>
      <c r="AA25" s="84"/>
      <c r="AB25" s="84"/>
      <c r="AC25" s="68" t="str">
        <f>IFERROR(D25*INDEX('BEES Data'!$B$6:$AL$9,MATCH('LED Lighting Estimator'!AB25,'BEES Data'!$A$6:$A$9,0),MATCH('LED Lighting Estimator'!AA25,'BEES Data'!$B$5:$AL$5,0)),"-")</f>
        <v>-</v>
      </c>
      <c r="AD25" s="68">
        <f>IFERROR(AC25*INDEX('BEES Data'!$B$14:$AL$14,1,MATCH('LED Lighting Estimator'!AA25,'BEES Data'!$B$5:$AL$5,0)),0)</f>
        <v>0</v>
      </c>
      <c r="AE25" s="69">
        <f t="shared" si="6"/>
        <v>0</v>
      </c>
      <c r="AF25" s="69">
        <f>IFERROR(AD25*INDEX('BEES Data'!$B$15:$AL$15,1,MATCH('LED Lighting Estimator'!AA25,'BEES Data'!$B$5:$AL$5)),0)</f>
        <v>0</v>
      </c>
      <c r="AG25" s="93">
        <f t="shared" si="7"/>
        <v>0</v>
      </c>
    </row>
    <row r="26" spans="2:33" x14ac:dyDescent="0.3">
      <c r="B26" s="84"/>
      <c r="C26" s="31"/>
      <c r="D26" s="85"/>
      <c r="E26" s="31"/>
      <c r="F26" s="31"/>
      <c r="G26" s="31"/>
      <c r="H26" s="31"/>
      <c r="I26" s="31"/>
      <c r="J26" s="31"/>
      <c r="K26" s="31"/>
      <c r="L26" s="86">
        <f>D26*SUMIFS('Lighting Power Density'!$E$3:$E$50,'Lighting Power Density'!$A$3:$A$50,'LED Lighting Estimator'!E26,'Lighting Power Density'!$B$3:$B$50,'LED Lighting Estimator'!G26,'Lighting Power Density'!$C$3:$C$50,'LED Lighting Estimator'!H26)/1000</f>
        <v>0</v>
      </c>
      <c r="M26" s="86">
        <f>D26*SUMIFS('Lighting Power Density'!$E$3:$E$50,'Lighting Power Density'!$A$3:$A$50,'LED Lighting Estimator'!E26,'Lighting Power Density'!$B$3:$B$50,"LED",'Lighting Power Density'!$C$3:$C$50,'LED Lighting Estimator'!H26)/1000</f>
        <v>0</v>
      </c>
      <c r="N26" s="58">
        <f t="shared" si="2"/>
        <v>0</v>
      </c>
      <c r="O26" s="58">
        <f>IFERROR(I26*365.25*M26*J26/7,0)*(1-IF(K26="Yes",SUMIFS('Control Benefit'!$C$12:$C$29,'Control Benefit'!$A$12:$A$29,'LED Lighting Estimator'!$D$5,'Control Benefit'!$B$12:$B$29,'LED Lighting Estimator'!$F26),0))</f>
        <v>0</v>
      </c>
      <c r="P26" s="86" t="str">
        <f>IFERROR((I26*365.25)/SUMIFS('Lighting Power Density'!$F$3:$F$50,'Lighting Power Density'!$A$3:$A$50,'LED Lighting Estimator'!$E26,'Lighting Power Density'!$B$3:$B$50,'LED Lighting Estimator'!$G26,'Lighting Power Density'!$C$3:$C$50,'LED Lighting Estimator'!$H26),"-")</f>
        <v>-</v>
      </c>
      <c r="Q26" s="86" t="str">
        <f>IFERROR((I26*365.25)/SUMIFS('Lighting Power Density'!$F$3:$F$50,'Lighting Power Density'!$A$3:$A$50,'LED Lighting Estimator'!$E26,'Lighting Power Density'!$B$3:$B$50,"LED",'Lighting Power Density'!$C$3:$C$50,'LED Lighting Estimator'!$H26),"-")</f>
        <v>-</v>
      </c>
      <c r="R26" s="59">
        <f t="shared" si="3"/>
        <v>0</v>
      </c>
      <c r="S26" s="59">
        <f t="shared" si="8"/>
        <v>0</v>
      </c>
      <c r="T26" s="59">
        <f>M26*IFERROR(SUMIFS('LED Costs'!$C$4:$C$22,'LED Costs'!$A$4:$A$22,'LED Lighting Estimator'!$D$5,'LED Costs'!$B$4:$B$22,'LED Lighting Estimator'!$F26)*1000,0)-IF($K26="No",$D26*SUMIFS('Control Benefit'!$E$12:$E$29,'Control Benefit'!$A$12:$A$29,'LED Lighting Estimator'!$D$5,'Control Benefit'!$B$12:$B$29,'LED Lighting Estimator'!$F26),0)</f>
        <v>0</v>
      </c>
      <c r="U26" s="59">
        <f t="shared" si="4"/>
        <v>0</v>
      </c>
      <c r="V26" s="59">
        <f>IFERROR(D26*P26*(SUMIFS('Other Costs'!$F$2:$F$19,'Other Costs'!$A$2:$A$19,'LED Lighting Estimator'!G26,'Other Costs'!$C$2:$C$19,'LED Lighting Estimator'!H26)+$D$9),0)</f>
        <v>0</v>
      </c>
      <c r="W26" s="60">
        <f>IFERROR(D26*Q26*(M26*SUMIFS('LED Costs'!$C$4:$C$22,'LED Costs'!$A$4:$A$22,$D$5,'LED Costs'!$B$4:$B$22,'LED Lighting Estimator'!$F26)/1000+'LED Lighting Estimator'!$D$9),0)</f>
        <v>0</v>
      </c>
      <c r="X26" s="61">
        <f t="shared" si="5"/>
        <v>0</v>
      </c>
      <c r="Y26" s="61">
        <f>IFERROR(($N26-$O26)*'Emission factors'!$D$4,0)</f>
        <v>0</v>
      </c>
      <c r="AA26" s="84"/>
      <c r="AB26" s="84"/>
      <c r="AC26" s="68" t="str">
        <f>IFERROR(D26*INDEX('BEES Data'!$B$6:$AL$9,MATCH('LED Lighting Estimator'!AB26,'BEES Data'!$A$6:$A$9,0),MATCH('LED Lighting Estimator'!AA26,'BEES Data'!$B$5:$AL$5,0)),"-")</f>
        <v>-</v>
      </c>
      <c r="AD26" s="68">
        <f>IFERROR(AC26*INDEX('BEES Data'!$B$14:$AL$14,1,MATCH('LED Lighting Estimator'!AA26,'BEES Data'!$B$5:$AL$5,0)),0)</f>
        <v>0</v>
      </c>
      <c r="AE26" s="69">
        <f t="shared" si="6"/>
        <v>0</v>
      </c>
      <c r="AF26" s="69">
        <f>IFERROR(AD26*INDEX('BEES Data'!$B$15:$AL$15,1,MATCH('LED Lighting Estimator'!AA26,'BEES Data'!$B$5:$AL$5)),0)</f>
        <v>0</v>
      </c>
      <c r="AG26" s="93">
        <f t="shared" si="7"/>
        <v>0</v>
      </c>
    </row>
    <row r="27" spans="2:33" x14ac:dyDescent="0.3">
      <c r="B27" s="84"/>
      <c r="C27" s="31"/>
      <c r="D27" s="85"/>
      <c r="E27" s="31"/>
      <c r="F27" s="31"/>
      <c r="G27" s="31"/>
      <c r="H27" s="31"/>
      <c r="I27" s="31"/>
      <c r="J27" s="31"/>
      <c r="K27" s="31"/>
      <c r="L27" s="86">
        <f>D27*SUMIFS('Lighting Power Density'!$E$3:$E$50,'Lighting Power Density'!$A$3:$A$50,'LED Lighting Estimator'!E27,'Lighting Power Density'!$B$3:$B$50,'LED Lighting Estimator'!G27,'Lighting Power Density'!$C$3:$C$50,'LED Lighting Estimator'!H27)/1000</f>
        <v>0</v>
      </c>
      <c r="M27" s="86">
        <f>D27*SUMIFS('Lighting Power Density'!$E$3:$E$50,'Lighting Power Density'!$A$3:$A$50,'LED Lighting Estimator'!E27,'Lighting Power Density'!$B$3:$B$50,"LED",'Lighting Power Density'!$C$3:$C$50,'LED Lighting Estimator'!H27)/1000</f>
        <v>0</v>
      </c>
      <c r="N27" s="58">
        <f t="shared" si="2"/>
        <v>0</v>
      </c>
      <c r="O27" s="58">
        <f>IFERROR(I27*365.25*M27*J27/7,0)*(1-IF(K27="Yes",SUMIFS('Control Benefit'!$C$12:$C$29,'Control Benefit'!$A$12:$A$29,'LED Lighting Estimator'!$D$5,'Control Benefit'!$B$12:$B$29,'LED Lighting Estimator'!$F27),0))</f>
        <v>0</v>
      </c>
      <c r="P27" s="86" t="str">
        <f>IFERROR((I27*365.25)/SUMIFS('Lighting Power Density'!$F$3:$F$50,'Lighting Power Density'!$A$3:$A$50,'LED Lighting Estimator'!$E27,'Lighting Power Density'!$B$3:$B$50,'LED Lighting Estimator'!$G27,'Lighting Power Density'!$C$3:$C$50,'LED Lighting Estimator'!$H27),"-")</f>
        <v>-</v>
      </c>
      <c r="Q27" s="86" t="str">
        <f>IFERROR((I27*365.25)/SUMIFS('Lighting Power Density'!$F$3:$F$50,'Lighting Power Density'!$A$3:$A$50,'LED Lighting Estimator'!$E27,'Lighting Power Density'!$B$3:$B$50,"LED",'Lighting Power Density'!$C$3:$C$50,'LED Lighting Estimator'!$H27),"-")</f>
        <v>-</v>
      </c>
      <c r="R27" s="59">
        <f t="shared" si="3"/>
        <v>0</v>
      </c>
      <c r="S27" s="59">
        <f t="shared" si="8"/>
        <v>0</v>
      </c>
      <c r="T27" s="59">
        <f>M27*IFERROR(SUMIFS('LED Costs'!$C$4:$C$22,'LED Costs'!$A$4:$A$22,'LED Lighting Estimator'!$D$5,'LED Costs'!$B$4:$B$22,'LED Lighting Estimator'!$F27)*1000,0)-IF($K27="No",$D27*SUMIFS('Control Benefit'!$E$12:$E$29,'Control Benefit'!$A$12:$A$29,'LED Lighting Estimator'!$D$5,'Control Benefit'!$B$12:$B$29,'LED Lighting Estimator'!$F27),0)</f>
        <v>0</v>
      </c>
      <c r="U27" s="59">
        <f>(T27+($D$10*D27))*(1+$D$11)*(1+$D$12)*(1+$D$13)*(1+$D$14)</f>
        <v>0</v>
      </c>
      <c r="V27" s="59">
        <f>IFERROR(D27*P27*(SUMIFS('Other Costs'!$F$2:$F$19,'Other Costs'!$A$2:$A$19,'LED Lighting Estimator'!G27,'Other Costs'!$C$2:$C$19,'LED Lighting Estimator'!H27)+$D$9),0)</f>
        <v>0</v>
      </c>
      <c r="W27" s="60">
        <f>IFERROR(D27*Q27*(M27*SUMIFS('LED Costs'!$C$4:$C$22,'LED Costs'!$A$4:$A$22,$D$5,'LED Costs'!$B$4:$B$22,'LED Lighting Estimator'!$F27)/1000+'LED Lighting Estimator'!$D$9),0)</f>
        <v>0</v>
      </c>
      <c r="X27" s="61">
        <f t="shared" si="5"/>
        <v>0</v>
      </c>
      <c r="Y27" s="61">
        <f>IFERROR(($N27-$O27)*'Emission factors'!$D$4,0)</f>
        <v>0</v>
      </c>
      <c r="AA27" s="84"/>
      <c r="AB27" s="84"/>
      <c r="AC27" s="68" t="str">
        <f>IFERROR(D27*INDEX('BEES Data'!$B$6:$AL$9,MATCH('LED Lighting Estimator'!AB27,'BEES Data'!$A$6:$A$9,0),MATCH('LED Lighting Estimator'!AA27,'BEES Data'!$B$5:$AL$5,0)),"-")</f>
        <v>-</v>
      </c>
      <c r="AD27" s="68">
        <f>IFERROR(AC27*INDEX('BEES Data'!$B$14:$AL$14,1,MATCH('LED Lighting Estimator'!AA27,'BEES Data'!$B$5:$AL$5,0)),0)</f>
        <v>0</v>
      </c>
      <c r="AE27" s="69">
        <f t="shared" si="6"/>
        <v>0</v>
      </c>
      <c r="AF27" s="69">
        <f>IFERROR(AD27*INDEX('BEES Data'!$B$15:$AL$15,1,MATCH('LED Lighting Estimator'!AA27,'BEES Data'!$B$5:$AL$5)),0)</f>
        <v>0</v>
      </c>
      <c r="AG27" s="93">
        <f t="shared" si="7"/>
        <v>0</v>
      </c>
    </row>
    <row r="28" spans="2:33" x14ac:dyDescent="0.3">
      <c r="B28" s="84"/>
      <c r="C28" s="31"/>
      <c r="D28" s="85"/>
      <c r="E28" s="31"/>
      <c r="F28" s="31"/>
      <c r="G28" s="31"/>
      <c r="H28" s="31"/>
      <c r="I28" s="31"/>
      <c r="J28" s="31"/>
      <c r="K28" s="31"/>
      <c r="L28" s="86">
        <f>D28*SUMIFS('Lighting Power Density'!$E$3:$E$50,'Lighting Power Density'!$A$3:$A$50,'LED Lighting Estimator'!E28,'Lighting Power Density'!$B$3:$B$50,'LED Lighting Estimator'!G28,'Lighting Power Density'!$C$3:$C$50,'LED Lighting Estimator'!H28)/1000</f>
        <v>0</v>
      </c>
      <c r="M28" s="86">
        <f>D28*SUMIFS('Lighting Power Density'!$E$3:$E$50,'Lighting Power Density'!$A$3:$A$50,'LED Lighting Estimator'!E28,'Lighting Power Density'!$B$3:$B$50,"LED",'Lighting Power Density'!$C$3:$C$50,'LED Lighting Estimator'!H28)/1000</f>
        <v>0</v>
      </c>
      <c r="N28" s="58">
        <f t="shared" si="2"/>
        <v>0</v>
      </c>
      <c r="O28" s="58">
        <f>IFERROR(I28*365.25*M28*J28/7,0)*(1-IF(K28="Yes",SUMIFS('Control Benefit'!$C$12:$C$29,'Control Benefit'!$A$12:$A$29,'LED Lighting Estimator'!$D$5,'Control Benefit'!$B$12:$B$29,'LED Lighting Estimator'!$F28),0))</f>
        <v>0</v>
      </c>
      <c r="P28" s="86" t="str">
        <f>IFERROR((I28*365.25)/SUMIFS('Lighting Power Density'!$F$3:$F$50,'Lighting Power Density'!$A$3:$A$50,'LED Lighting Estimator'!$E28,'Lighting Power Density'!$B$3:$B$50,'LED Lighting Estimator'!$G28,'Lighting Power Density'!$C$3:$C$50,'LED Lighting Estimator'!$H28),"-")</f>
        <v>-</v>
      </c>
      <c r="Q28" s="86" t="str">
        <f>IFERROR((I28*365.25)/SUMIFS('Lighting Power Density'!$F$3:$F$50,'Lighting Power Density'!$A$3:$A$50,'LED Lighting Estimator'!$E28,'Lighting Power Density'!$B$3:$B$50,"LED",'Lighting Power Density'!$C$3:$C$50,'LED Lighting Estimator'!$H28),"-")</f>
        <v>-</v>
      </c>
      <c r="R28" s="59">
        <f t="shared" si="3"/>
        <v>0</v>
      </c>
      <c r="S28" s="59">
        <f t="shared" si="8"/>
        <v>0</v>
      </c>
      <c r="T28" s="59">
        <f>M28*IFERROR(SUMIFS('LED Costs'!$C$4:$C$22,'LED Costs'!$A$4:$A$22,'LED Lighting Estimator'!$D$5,'LED Costs'!$B$4:$B$22,'LED Lighting Estimator'!$F28)*1000,0)-IF($K28="No",$D28*SUMIFS('Control Benefit'!$E$12:$E$29,'Control Benefit'!$A$12:$A$29,'LED Lighting Estimator'!$D$5,'Control Benefit'!$B$12:$B$29,'LED Lighting Estimator'!$F28),0)</f>
        <v>0</v>
      </c>
      <c r="U28" s="59">
        <f t="shared" si="4"/>
        <v>0</v>
      </c>
      <c r="V28" s="59">
        <f>IFERROR(D28*P28*(SUMIFS('Other Costs'!$F$2:$F$19,'Other Costs'!$A$2:$A$19,'LED Lighting Estimator'!G28,'Other Costs'!$C$2:$C$19,'LED Lighting Estimator'!H28)+$D$9),0)</f>
        <v>0</v>
      </c>
      <c r="W28" s="60">
        <f>IFERROR(D28*Q28*(M28*SUMIFS('LED Costs'!$C$4:$C$22,'LED Costs'!$A$4:$A$22,$D$5,'LED Costs'!$B$4:$B$22,'LED Lighting Estimator'!$F28)/1000+'LED Lighting Estimator'!$D$9),0)</f>
        <v>0</v>
      </c>
      <c r="X28" s="61">
        <f t="shared" si="5"/>
        <v>0</v>
      </c>
      <c r="Y28" s="61">
        <f>IFERROR(($N28-$O28)*'Emission factors'!$D$4,0)</f>
        <v>0</v>
      </c>
      <c r="AA28" s="84"/>
      <c r="AB28" s="84"/>
      <c r="AC28" s="68" t="str">
        <f>IFERROR(D28*INDEX('BEES Data'!$B$6:$AL$9,MATCH('LED Lighting Estimator'!AB28,'BEES Data'!$A$6:$A$9,0),MATCH('LED Lighting Estimator'!AA28,'BEES Data'!$B$5:$AL$5,0)),"-")</f>
        <v>-</v>
      </c>
      <c r="AD28" s="68">
        <f>IFERROR(AC28*INDEX('BEES Data'!$B$14:$AL$14,1,MATCH('LED Lighting Estimator'!AA28,'BEES Data'!$B$5:$AL$5,0)),0)</f>
        <v>0</v>
      </c>
      <c r="AE28" s="69">
        <f t="shared" si="6"/>
        <v>0</v>
      </c>
      <c r="AF28" s="69">
        <f>IFERROR(AD28*INDEX('BEES Data'!$B$15:$AL$15,1,MATCH('LED Lighting Estimator'!AA28,'BEES Data'!$B$5:$AL$5)),0)</f>
        <v>0</v>
      </c>
      <c r="AG28" s="93">
        <f t="shared" si="7"/>
        <v>0</v>
      </c>
    </row>
    <row r="29" spans="2:33" x14ac:dyDescent="0.3">
      <c r="B29" s="84"/>
      <c r="C29" s="31"/>
      <c r="D29" s="85"/>
      <c r="E29" s="31"/>
      <c r="F29" s="31"/>
      <c r="G29" s="31"/>
      <c r="H29" s="31"/>
      <c r="I29" s="31"/>
      <c r="J29" s="31"/>
      <c r="K29" s="31"/>
      <c r="L29" s="86">
        <f>D29*SUMIFS('Lighting Power Density'!$E$3:$E$50,'Lighting Power Density'!$A$3:$A$50,'LED Lighting Estimator'!E29,'Lighting Power Density'!$B$3:$B$50,'LED Lighting Estimator'!G29,'Lighting Power Density'!$C$3:$C$50,'LED Lighting Estimator'!H29)/1000</f>
        <v>0</v>
      </c>
      <c r="M29" s="86">
        <f>D29*SUMIFS('Lighting Power Density'!$E$3:$E$50,'Lighting Power Density'!$A$3:$A$50,'LED Lighting Estimator'!E29,'Lighting Power Density'!$B$3:$B$50,"LED",'Lighting Power Density'!$C$3:$C$50,'LED Lighting Estimator'!H29)/1000</f>
        <v>0</v>
      </c>
      <c r="N29" s="58">
        <f t="shared" si="2"/>
        <v>0</v>
      </c>
      <c r="O29" s="58">
        <f>IFERROR(I29*365.25*M29*J29/7,0)*(1-IF(K29="Yes",SUMIFS('Control Benefit'!$C$12:$C$29,'Control Benefit'!$A$12:$A$29,'LED Lighting Estimator'!$D$5,'Control Benefit'!$B$12:$B$29,'LED Lighting Estimator'!$F29),0))</f>
        <v>0</v>
      </c>
      <c r="P29" s="86" t="str">
        <f>IFERROR((I29*365.25)/SUMIFS('Lighting Power Density'!$F$3:$F$50,'Lighting Power Density'!$A$3:$A$50,'LED Lighting Estimator'!$E29,'Lighting Power Density'!$B$3:$B$50,'LED Lighting Estimator'!$G29,'Lighting Power Density'!$C$3:$C$50,'LED Lighting Estimator'!$H29),"-")</f>
        <v>-</v>
      </c>
      <c r="Q29" s="86" t="str">
        <f>IFERROR((I29*365.25)/SUMIFS('Lighting Power Density'!$F$3:$F$50,'Lighting Power Density'!$A$3:$A$50,'LED Lighting Estimator'!$E29,'Lighting Power Density'!$B$3:$B$50,"LED",'Lighting Power Density'!$C$3:$C$50,'LED Lighting Estimator'!$H29),"-")</f>
        <v>-</v>
      </c>
      <c r="R29" s="59">
        <f t="shared" si="3"/>
        <v>0</v>
      </c>
      <c r="S29" s="59">
        <f t="shared" si="8"/>
        <v>0</v>
      </c>
      <c r="T29" s="59">
        <f>M29*IFERROR(SUMIFS('LED Costs'!$C$4:$C$22,'LED Costs'!$A$4:$A$22,'LED Lighting Estimator'!$D$5,'LED Costs'!$B$4:$B$22,'LED Lighting Estimator'!$F29)*1000,0)-IF($K29="No",$D29*SUMIFS('Control Benefit'!$E$12:$E$29,'Control Benefit'!$A$12:$A$29,'LED Lighting Estimator'!$D$5,'Control Benefit'!$B$12:$B$29,'LED Lighting Estimator'!$F29),0)</f>
        <v>0</v>
      </c>
      <c r="U29" s="59">
        <f t="shared" si="4"/>
        <v>0</v>
      </c>
      <c r="V29" s="59">
        <f>IFERROR(D29*P29*(SUMIFS('Other Costs'!$F$2:$F$19,'Other Costs'!$A$2:$A$19,'LED Lighting Estimator'!G29,'Other Costs'!$C$2:$C$19,'LED Lighting Estimator'!H29)+$D$9),0)</f>
        <v>0</v>
      </c>
      <c r="W29" s="60">
        <f>IFERROR(D29*Q29*(M29*SUMIFS('LED Costs'!$C$4:$C$22,'LED Costs'!$A$4:$A$22,$D$5,'LED Costs'!$B$4:$B$22,'LED Lighting Estimator'!$F29)/1000+'LED Lighting Estimator'!$D$9),0)</f>
        <v>0</v>
      </c>
      <c r="X29" s="61">
        <f t="shared" si="5"/>
        <v>0</v>
      </c>
      <c r="Y29" s="61">
        <f>IFERROR(($N29-$O29)*'Emission factors'!$D$4,0)</f>
        <v>0</v>
      </c>
      <c r="AA29" s="84"/>
      <c r="AB29" s="84"/>
      <c r="AC29" s="68" t="str">
        <f>IFERROR(D29*INDEX('BEES Data'!$B$6:$AL$9,MATCH('LED Lighting Estimator'!AB29,'BEES Data'!$A$6:$A$9,0),MATCH('LED Lighting Estimator'!AA29,'BEES Data'!$B$5:$AL$5,0)),"-")</f>
        <v>-</v>
      </c>
      <c r="AD29" s="68">
        <f>IFERROR(AC29*INDEX('BEES Data'!$B$14:$AL$14,1,MATCH('LED Lighting Estimator'!AA29,'BEES Data'!$B$5:$AL$5,0)),0)</f>
        <v>0</v>
      </c>
      <c r="AE29" s="69">
        <f t="shared" si="6"/>
        <v>0</v>
      </c>
      <c r="AF29" s="69">
        <f>IFERROR(AD29*INDEX('BEES Data'!$B$15:$AL$15,1,MATCH('LED Lighting Estimator'!AA29,'BEES Data'!$B$5:$AL$5)),0)</f>
        <v>0</v>
      </c>
      <c r="AG29" s="93">
        <f t="shared" ref="AG29:AG83" si="9">IFERROR(AF29/AE29,0)</f>
        <v>0</v>
      </c>
    </row>
    <row r="30" spans="2:33" x14ac:dyDescent="0.3">
      <c r="B30" s="84"/>
      <c r="C30" s="31"/>
      <c r="D30" s="85"/>
      <c r="E30" s="31"/>
      <c r="F30" s="31"/>
      <c r="G30" s="31"/>
      <c r="H30" s="31"/>
      <c r="I30" s="31"/>
      <c r="J30" s="31"/>
      <c r="K30" s="31"/>
      <c r="L30" s="86">
        <f>D30*SUMIFS('Lighting Power Density'!$E$3:$E$50,'Lighting Power Density'!$A$3:$A$50,'LED Lighting Estimator'!E30,'Lighting Power Density'!$B$3:$B$50,'LED Lighting Estimator'!G30,'Lighting Power Density'!$C$3:$C$50,'LED Lighting Estimator'!H30)/1000</f>
        <v>0</v>
      </c>
      <c r="M30" s="86">
        <f>D30*SUMIFS('Lighting Power Density'!$E$3:$E$50,'Lighting Power Density'!$A$3:$A$50,'LED Lighting Estimator'!E30,'Lighting Power Density'!$B$3:$B$50,"LED",'Lighting Power Density'!$C$3:$C$50,'LED Lighting Estimator'!H30)/1000</f>
        <v>0</v>
      </c>
      <c r="N30" s="58">
        <f t="shared" si="2"/>
        <v>0</v>
      </c>
      <c r="O30" s="58">
        <f>IFERROR(I30*365.25*M30*J30/7,0)*(1-IF(K30="Yes",SUMIFS('Control Benefit'!$C$12:$C$29,'Control Benefit'!$A$12:$A$29,'LED Lighting Estimator'!$D$5,'Control Benefit'!$B$12:$B$29,'LED Lighting Estimator'!$F30),0))</f>
        <v>0</v>
      </c>
      <c r="P30" s="86" t="str">
        <f>IFERROR((I30*365.25)/SUMIFS('Lighting Power Density'!$F$3:$F$50,'Lighting Power Density'!$A$3:$A$50,'LED Lighting Estimator'!$E30,'Lighting Power Density'!$B$3:$B$50,'LED Lighting Estimator'!$G30,'Lighting Power Density'!$C$3:$C$50,'LED Lighting Estimator'!$H30),"-")</f>
        <v>-</v>
      </c>
      <c r="Q30" s="86" t="str">
        <f>IFERROR((I30*365.25)/SUMIFS('Lighting Power Density'!$F$3:$F$50,'Lighting Power Density'!$A$3:$A$50,'LED Lighting Estimator'!$E30,'Lighting Power Density'!$B$3:$B$50,"LED",'Lighting Power Density'!$C$3:$C$50,'LED Lighting Estimator'!$H30),"-")</f>
        <v>-</v>
      </c>
      <c r="R30" s="59">
        <f t="shared" si="3"/>
        <v>0</v>
      </c>
      <c r="S30" s="59">
        <f t="shared" si="8"/>
        <v>0</v>
      </c>
      <c r="T30" s="59">
        <f>M30*IFERROR(SUMIFS('LED Costs'!$C$4:$C$22,'LED Costs'!$A$4:$A$22,'LED Lighting Estimator'!$D$5,'LED Costs'!$B$4:$B$22,'LED Lighting Estimator'!$F30)*1000,0)-IF($K30="No",$D30*SUMIFS('Control Benefit'!$E$12:$E$29,'Control Benefit'!$A$12:$A$29,'LED Lighting Estimator'!$D$5,'Control Benefit'!$B$12:$B$29,'LED Lighting Estimator'!$F30),0)</f>
        <v>0</v>
      </c>
      <c r="U30" s="59">
        <f t="shared" si="4"/>
        <v>0</v>
      </c>
      <c r="V30" s="59">
        <f>IFERROR(D30*P30*(SUMIFS('Other Costs'!$F$2:$F$19,'Other Costs'!$A$2:$A$19,'LED Lighting Estimator'!G30,'Other Costs'!$C$2:$C$19,'LED Lighting Estimator'!H30)+$D$9),0)</f>
        <v>0</v>
      </c>
      <c r="W30" s="60">
        <f>IFERROR(D30*Q30*(M30*SUMIFS('LED Costs'!$C$4:$C$22,'LED Costs'!$A$4:$A$22,$D$5,'LED Costs'!$B$4:$B$22,'LED Lighting Estimator'!$F30)/1000+'LED Lighting Estimator'!$D$9),0)</f>
        <v>0</v>
      </c>
      <c r="X30" s="61">
        <f t="shared" si="5"/>
        <v>0</v>
      </c>
      <c r="Y30" s="61">
        <f>IFERROR(($N30-$O30)*'Emission factors'!$D$4,0)</f>
        <v>0</v>
      </c>
      <c r="AA30" s="84"/>
      <c r="AB30" s="84"/>
      <c r="AC30" s="68" t="str">
        <f>IFERROR(D30*INDEX('BEES Data'!$B$6:$AL$9,MATCH('LED Lighting Estimator'!AB30,'BEES Data'!$A$6:$A$9,0),MATCH('LED Lighting Estimator'!AA30,'BEES Data'!$B$5:$AL$5,0)),"-")</f>
        <v>-</v>
      </c>
      <c r="AD30" s="68">
        <f>IFERROR(AC30*INDEX('BEES Data'!$B$14:$AL$14,1,MATCH('LED Lighting Estimator'!AA30,'BEES Data'!$B$5:$AL$5,0)),0)</f>
        <v>0</v>
      </c>
      <c r="AE30" s="69">
        <f t="shared" si="6"/>
        <v>0</v>
      </c>
      <c r="AF30" s="69">
        <f>IFERROR(AD30*INDEX('BEES Data'!$B$15:$AL$15,1,MATCH('LED Lighting Estimator'!AA30,'BEES Data'!$B$5:$AL$5)),0)</f>
        <v>0</v>
      </c>
      <c r="AG30" s="93">
        <f t="shared" si="9"/>
        <v>0</v>
      </c>
    </row>
    <row r="31" spans="2:33" x14ac:dyDescent="0.3">
      <c r="B31" s="84"/>
      <c r="C31" s="31"/>
      <c r="D31" s="85"/>
      <c r="E31" s="31"/>
      <c r="F31" s="31"/>
      <c r="G31" s="31"/>
      <c r="H31" s="31"/>
      <c r="I31" s="31"/>
      <c r="J31" s="31"/>
      <c r="K31" s="31"/>
      <c r="L31" s="86">
        <f>D31*SUMIFS('Lighting Power Density'!$E$3:$E$50,'Lighting Power Density'!$A$3:$A$50,'LED Lighting Estimator'!E31,'Lighting Power Density'!$B$3:$B$50,'LED Lighting Estimator'!G31,'Lighting Power Density'!$C$3:$C$50,'LED Lighting Estimator'!H31)/1000</f>
        <v>0</v>
      </c>
      <c r="M31" s="86">
        <f>D31*SUMIFS('Lighting Power Density'!$E$3:$E$50,'Lighting Power Density'!$A$3:$A$50,'LED Lighting Estimator'!E31,'Lighting Power Density'!$B$3:$B$50,"LED",'Lighting Power Density'!$C$3:$C$50,'LED Lighting Estimator'!H31)/1000</f>
        <v>0</v>
      </c>
      <c r="N31" s="58">
        <f t="shared" si="2"/>
        <v>0</v>
      </c>
      <c r="O31" s="58">
        <f>IFERROR(I31*365.25*M31*J31/7,0)*(1-IF(K31="Yes",SUMIFS('Control Benefit'!$C$12:$C$29,'Control Benefit'!$A$12:$A$29,'LED Lighting Estimator'!$D$5,'Control Benefit'!$B$12:$B$29,'LED Lighting Estimator'!$F31),0))</f>
        <v>0</v>
      </c>
      <c r="P31" s="86" t="str">
        <f>IFERROR((I31*365.25)/SUMIFS('Lighting Power Density'!$F$3:$F$50,'Lighting Power Density'!$A$3:$A$50,'LED Lighting Estimator'!$E31,'Lighting Power Density'!$B$3:$B$50,'LED Lighting Estimator'!$G31,'Lighting Power Density'!$C$3:$C$50,'LED Lighting Estimator'!$H31),"-")</f>
        <v>-</v>
      </c>
      <c r="Q31" s="86" t="str">
        <f>IFERROR((I31*365.25)/SUMIFS('Lighting Power Density'!$F$3:$F$50,'Lighting Power Density'!$A$3:$A$50,'LED Lighting Estimator'!$E31,'Lighting Power Density'!$B$3:$B$50,"LED",'Lighting Power Density'!$C$3:$C$50,'LED Lighting Estimator'!$H31),"-")</f>
        <v>-</v>
      </c>
      <c r="R31" s="59">
        <f t="shared" si="3"/>
        <v>0</v>
      </c>
      <c r="S31" s="59">
        <f t="shared" si="8"/>
        <v>0</v>
      </c>
      <c r="T31" s="59">
        <f>M31*IFERROR(SUMIFS('LED Costs'!$C$4:$C$22,'LED Costs'!$A$4:$A$22,'LED Lighting Estimator'!$D$5,'LED Costs'!$B$4:$B$22,'LED Lighting Estimator'!$F31)*1000,0)-IF($K31="No",$D31*SUMIFS('Control Benefit'!$E$12:$E$29,'Control Benefit'!$A$12:$A$29,'LED Lighting Estimator'!$D$5,'Control Benefit'!$B$12:$B$29,'LED Lighting Estimator'!$F31),0)</f>
        <v>0</v>
      </c>
      <c r="U31" s="59">
        <f t="shared" si="4"/>
        <v>0</v>
      </c>
      <c r="V31" s="59">
        <f>IFERROR(D31*P31*(SUMIFS('Other Costs'!$F$2:$F$19,'Other Costs'!$A$2:$A$19,'LED Lighting Estimator'!G31,'Other Costs'!$C$2:$C$19,'LED Lighting Estimator'!H31)+$D$9),0)</f>
        <v>0</v>
      </c>
      <c r="W31" s="60">
        <f>IFERROR(D31*Q31*(M31*SUMIFS('LED Costs'!$C$4:$C$22,'LED Costs'!$A$4:$A$22,$D$5,'LED Costs'!$B$4:$B$22,'LED Lighting Estimator'!$F31)/1000+'LED Lighting Estimator'!$D$9),0)</f>
        <v>0</v>
      </c>
      <c r="X31" s="61">
        <f t="shared" si="5"/>
        <v>0</v>
      </c>
      <c r="Y31" s="61">
        <f>IFERROR(($N31-$O31)*'Emission factors'!$D$4,0)</f>
        <v>0</v>
      </c>
      <c r="AA31" s="84"/>
      <c r="AB31" s="84"/>
      <c r="AC31" s="68" t="str">
        <f>IFERROR(D31*INDEX('BEES Data'!$B$6:$AL$9,MATCH('LED Lighting Estimator'!AB31,'BEES Data'!$A$6:$A$9,0),MATCH('LED Lighting Estimator'!AA31,'BEES Data'!$B$5:$AL$5,0)),"-")</f>
        <v>-</v>
      </c>
      <c r="AD31" s="68">
        <f>IFERROR(AC31*INDEX('BEES Data'!$B$14:$AL$14,1,MATCH('LED Lighting Estimator'!AA31,'BEES Data'!$B$5:$AL$5,0)),0)</f>
        <v>0</v>
      </c>
      <c r="AE31" s="69">
        <f t="shared" si="6"/>
        <v>0</v>
      </c>
      <c r="AF31" s="69">
        <f>IFERROR(AD31*INDEX('BEES Data'!$B$15:$AL$15,1,MATCH('LED Lighting Estimator'!AA31,'BEES Data'!$B$5:$AL$5)),0)</f>
        <v>0</v>
      </c>
      <c r="AG31" s="93">
        <f t="shared" si="9"/>
        <v>0</v>
      </c>
    </row>
    <row r="32" spans="2:33" x14ac:dyDescent="0.3">
      <c r="B32" s="84"/>
      <c r="C32" s="31"/>
      <c r="D32" s="85"/>
      <c r="E32" s="31"/>
      <c r="F32" s="31"/>
      <c r="G32" s="31"/>
      <c r="H32" s="31"/>
      <c r="I32" s="31"/>
      <c r="J32" s="31"/>
      <c r="K32" s="31"/>
      <c r="L32" s="86">
        <f>D32*SUMIFS('Lighting Power Density'!$E$3:$E$50,'Lighting Power Density'!$A$3:$A$50,'LED Lighting Estimator'!E32,'Lighting Power Density'!$B$3:$B$50,'LED Lighting Estimator'!G32,'Lighting Power Density'!$C$3:$C$50,'LED Lighting Estimator'!H32)/1000</f>
        <v>0</v>
      </c>
      <c r="M32" s="86">
        <f>D32*SUMIFS('Lighting Power Density'!$E$3:$E$50,'Lighting Power Density'!$A$3:$A$50,'LED Lighting Estimator'!E32,'Lighting Power Density'!$B$3:$B$50,"LED",'Lighting Power Density'!$C$3:$C$50,'LED Lighting Estimator'!H32)/1000</f>
        <v>0</v>
      </c>
      <c r="N32" s="58">
        <f t="shared" si="2"/>
        <v>0</v>
      </c>
      <c r="O32" s="58">
        <f>IFERROR(I32*365.25*M32*J32/7,0)*(1-IF(K32="Yes",SUMIFS('Control Benefit'!$C$12:$C$29,'Control Benefit'!$A$12:$A$29,'LED Lighting Estimator'!$D$5,'Control Benefit'!$B$12:$B$29,'LED Lighting Estimator'!$F32),0))</f>
        <v>0</v>
      </c>
      <c r="P32" s="86" t="str">
        <f>IFERROR((I32*365.25)/SUMIFS('Lighting Power Density'!$F$3:$F$50,'Lighting Power Density'!$A$3:$A$50,'LED Lighting Estimator'!$E32,'Lighting Power Density'!$B$3:$B$50,'LED Lighting Estimator'!$G32,'Lighting Power Density'!$C$3:$C$50,'LED Lighting Estimator'!$H32),"-")</f>
        <v>-</v>
      </c>
      <c r="Q32" s="86" t="str">
        <f>IFERROR((I32*365.25)/SUMIFS('Lighting Power Density'!$F$3:$F$50,'Lighting Power Density'!$A$3:$A$50,'LED Lighting Estimator'!$E32,'Lighting Power Density'!$B$3:$B$50,"LED",'Lighting Power Density'!$C$3:$C$50,'LED Lighting Estimator'!$H32),"-")</f>
        <v>-</v>
      </c>
      <c r="R32" s="59">
        <f t="shared" si="3"/>
        <v>0</v>
      </c>
      <c r="S32" s="59">
        <f t="shared" si="8"/>
        <v>0</v>
      </c>
      <c r="T32" s="59">
        <f>M32*IFERROR(SUMIFS('LED Costs'!$C$4:$C$22,'LED Costs'!$A$4:$A$22,'LED Lighting Estimator'!$D$5,'LED Costs'!$B$4:$B$22,'LED Lighting Estimator'!$F32)*1000,0)-IF($K32="No",$D32*SUMIFS('Control Benefit'!$E$12:$E$29,'Control Benefit'!$A$12:$A$29,'LED Lighting Estimator'!$D$5,'Control Benefit'!$B$12:$B$29,'LED Lighting Estimator'!$F32),0)</f>
        <v>0</v>
      </c>
      <c r="U32" s="59">
        <f t="shared" si="4"/>
        <v>0</v>
      </c>
      <c r="V32" s="59">
        <f>IFERROR(D32*P32*(SUMIFS('Other Costs'!$F$2:$F$19,'Other Costs'!$A$2:$A$19,'LED Lighting Estimator'!G32,'Other Costs'!$C$2:$C$19,'LED Lighting Estimator'!H32)+$D$9),0)</f>
        <v>0</v>
      </c>
      <c r="W32" s="60">
        <f>IFERROR(D32*Q32*(M32*SUMIFS('LED Costs'!$C$4:$C$22,'LED Costs'!$A$4:$A$22,$D$5,'LED Costs'!$B$4:$B$22,'LED Lighting Estimator'!$F32)/1000+'LED Lighting Estimator'!$D$9),0)</f>
        <v>0</v>
      </c>
      <c r="X32" s="61">
        <f t="shared" si="5"/>
        <v>0</v>
      </c>
      <c r="Y32" s="61">
        <f>IFERROR(($N32-$O32)*'Emission factors'!$D$4,0)</f>
        <v>0</v>
      </c>
      <c r="AA32" s="84"/>
      <c r="AB32" s="84"/>
      <c r="AC32" s="68" t="str">
        <f>IFERROR(D32*INDEX('BEES Data'!$B$6:$AL$9,MATCH('LED Lighting Estimator'!AB32,'BEES Data'!$A$6:$A$9,0),MATCH('LED Lighting Estimator'!AA32,'BEES Data'!$B$5:$AL$5,0)),"-")</f>
        <v>-</v>
      </c>
      <c r="AD32" s="68">
        <f>IFERROR(AC32*INDEX('BEES Data'!$B$14:$AL$14,1,MATCH('LED Lighting Estimator'!AA32,'BEES Data'!$B$5:$AL$5,0)),0)</f>
        <v>0</v>
      </c>
      <c r="AE32" s="69">
        <f t="shared" si="6"/>
        <v>0</v>
      </c>
      <c r="AF32" s="69">
        <f>IFERROR(AD32*INDEX('BEES Data'!$B$15:$AL$15,1,MATCH('LED Lighting Estimator'!AA32,'BEES Data'!$B$5:$AL$5)),0)</f>
        <v>0</v>
      </c>
      <c r="AG32" s="93">
        <f t="shared" si="9"/>
        <v>0</v>
      </c>
    </row>
    <row r="33" spans="2:33" x14ac:dyDescent="0.3">
      <c r="B33" s="84"/>
      <c r="C33" s="31"/>
      <c r="D33" s="85"/>
      <c r="E33" s="31"/>
      <c r="F33" s="31"/>
      <c r="G33" s="31"/>
      <c r="H33" s="31"/>
      <c r="I33" s="31"/>
      <c r="J33" s="31"/>
      <c r="K33" s="31"/>
      <c r="L33" s="86">
        <f>D33*SUMIFS('Lighting Power Density'!$E$3:$E$50,'Lighting Power Density'!$A$3:$A$50,'LED Lighting Estimator'!E33,'Lighting Power Density'!$B$3:$B$50,'LED Lighting Estimator'!G33,'Lighting Power Density'!$C$3:$C$50,'LED Lighting Estimator'!H33)/1000</f>
        <v>0</v>
      </c>
      <c r="M33" s="86">
        <f>D33*SUMIFS('Lighting Power Density'!$E$3:$E$50,'Lighting Power Density'!$A$3:$A$50,'LED Lighting Estimator'!E33,'Lighting Power Density'!$B$3:$B$50,"LED",'Lighting Power Density'!$C$3:$C$50,'LED Lighting Estimator'!H33)/1000</f>
        <v>0</v>
      </c>
      <c r="N33" s="58">
        <f t="shared" si="2"/>
        <v>0</v>
      </c>
      <c r="O33" s="58">
        <f>IFERROR(I33*365.25*M33*J33/7,0)*(1-IF(K33="Yes",SUMIFS('Control Benefit'!$C$12:$C$29,'Control Benefit'!$A$12:$A$29,'LED Lighting Estimator'!$D$5,'Control Benefit'!$B$12:$B$29,'LED Lighting Estimator'!$F33),0))</f>
        <v>0</v>
      </c>
      <c r="P33" s="86" t="str">
        <f>IFERROR((I33*365.25)/SUMIFS('Lighting Power Density'!$F$3:$F$50,'Lighting Power Density'!$A$3:$A$50,'LED Lighting Estimator'!$E33,'Lighting Power Density'!$B$3:$B$50,'LED Lighting Estimator'!$G33,'Lighting Power Density'!$C$3:$C$50,'LED Lighting Estimator'!$H33),"-")</f>
        <v>-</v>
      </c>
      <c r="Q33" s="86" t="str">
        <f>IFERROR((I33*365.25)/SUMIFS('Lighting Power Density'!$F$3:$F$50,'Lighting Power Density'!$A$3:$A$50,'LED Lighting Estimator'!$E33,'Lighting Power Density'!$B$3:$B$50,"LED",'Lighting Power Density'!$C$3:$C$50,'LED Lighting Estimator'!$H33),"-")</f>
        <v>-</v>
      </c>
      <c r="R33" s="59">
        <f t="shared" si="3"/>
        <v>0</v>
      </c>
      <c r="S33" s="59">
        <f t="shared" si="8"/>
        <v>0</v>
      </c>
      <c r="T33" s="59">
        <f>M33*IFERROR(SUMIFS('LED Costs'!$C$4:$C$22,'LED Costs'!$A$4:$A$22,'LED Lighting Estimator'!$D$5,'LED Costs'!$B$4:$B$22,'LED Lighting Estimator'!$F33)*1000,0)-IF($K33="No",$D33*SUMIFS('Control Benefit'!$E$12:$E$29,'Control Benefit'!$A$12:$A$29,'LED Lighting Estimator'!$D$5,'Control Benefit'!$B$12:$B$29,'LED Lighting Estimator'!$F33),0)</f>
        <v>0</v>
      </c>
      <c r="U33" s="59">
        <f t="shared" si="4"/>
        <v>0</v>
      </c>
      <c r="V33" s="59">
        <f>IFERROR(D33*P33*(SUMIFS('Other Costs'!$F$2:$F$19,'Other Costs'!$A$2:$A$19,'LED Lighting Estimator'!G33,'Other Costs'!$C$2:$C$19,'LED Lighting Estimator'!H33)+$D$9),0)</f>
        <v>0</v>
      </c>
      <c r="W33" s="60">
        <f>IFERROR(D33*Q33*(M33*SUMIFS('LED Costs'!$C$4:$C$22,'LED Costs'!$A$4:$A$22,$D$5,'LED Costs'!$B$4:$B$22,'LED Lighting Estimator'!$F33)/1000+'LED Lighting Estimator'!$D$9),0)</f>
        <v>0</v>
      </c>
      <c r="X33" s="61">
        <f t="shared" si="5"/>
        <v>0</v>
      </c>
      <c r="Y33" s="61">
        <f>IFERROR(($N33-$O33)*'Emission factors'!$D$4,0)</f>
        <v>0</v>
      </c>
      <c r="AA33" s="84"/>
      <c r="AB33" s="84"/>
      <c r="AC33" s="68" t="str">
        <f>IFERROR(D33*INDEX('BEES Data'!$B$6:$AL$9,MATCH('LED Lighting Estimator'!AB33,'BEES Data'!$A$6:$A$9,0),MATCH('LED Lighting Estimator'!AA33,'BEES Data'!$B$5:$AL$5,0)),"-")</f>
        <v>-</v>
      </c>
      <c r="AD33" s="68">
        <f>IFERROR(AC33*INDEX('BEES Data'!$B$14:$AL$14,1,MATCH('LED Lighting Estimator'!AA33,'BEES Data'!$B$5:$AL$5,0)),0)</f>
        <v>0</v>
      </c>
      <c r="AE33" s="69">
        <f t="shared" si="6"/>
        <v>0</v>
      </c>
      <c r="AF33" s="69">
        <f>IFERROR(AD33*INDEX('BEES Data'!$B$15:$AL$15,1,MATCH('LED Lighting Estimator'!AA33,'BEES Data'!$B$5:$AL$5)),0)</f>
        <v>0</v>
      </c>
      <c r="AG33" s="93">
        <f t="shared" si="9"/>
        <v>0</v>
      </c>
    </row>
    <row r="34" spans="2:33" x14ac:dyDescent="0.3">
      <c r="B34" s="84"/>
      <c r="C34" s="31"/>
      <c r="D34" s="85"/>
      <c r="E34" s="31"/>
      <c r="F34" s="31"/>
      <c r="G34" s="31"/>
      <c r="H34" s="31"/>
      <c r="I34" s="31"/>
      <c r="J34" s="31"/>
      <c r="K34" s="31"/>
      <c r="L34" s="86">
        <f>D34*SUMIFS('Lighting Power Density'!$E$3:$E$50,'Lighting Power Density'!$A$3:$A$50,'LED Lighting Estimator'!E34,'Lighting Power Density'!$B$3:$B$50,'LED Lighting Estimator'!G34,'Lighting Power Density'!$C$3:$C$50,'LED Lighting Estimator'!H34)/1000</f>
        <v>0</v>
      </c>
      <c r="M34" s="86">
        <f>D34*SUMIFS('Lighting Power Density'!$E$3:$E$50,'Lighting Power Density'!$A$3:$A$50,'LED Lighting Estimator'!E34,'Lighting Power Density'!$B$3:$B$50,"LED",'Lighting Power Density'!$C$3:$C$50,'LED Lighting Estimator'!H34)/1000</f>
        <v>0</v>
      </c>
      <c r="N34" s="58">
        <f t="shared" si="2"/>
        <v>0</v>
      </c>
      <c r="O34" s="58">
        <f>IFERROR(I34*365.25*M34*J34/7,0)*(1-IF(K34="Yes",SUMIFS('Control Benefit'!$C$12:$C$29,'Control Benefit'!$A$12:$A$29,'LED Lighting Estimator'!$D$5,'Control Benefit'!$B$12:$B$29,'LED Lighting Estimator'!$F34),0))</f>
        <v>0</v>
      </c>
      <c r="P34" s="86" t="str">
        <f>IFERROR((I34*365.25)/SUMIFS('Lighting Power Density'!$F$3:$F$50,'Lighting Power Density'!$A$3:$A$50,'LED Lighting Estimator'!$E34,'Lighting Power Density'!$B$3:$B$50,'LED Lighting Estimator'!$G34,'Lighting Power Density'!$C$3:$C$50,'LED Lighting Estimator'!$H34),"-")</f>
        <v>-</v>
      </c>
      <c r="Q34" s="86" t="str">
        <f>IFERROR((I34*365.25)/SUMIFS('Lighting Power Density'!$F$3:$F$50,'Lighting Power Density'!$A$3:$A$50,'LED Lighting Estimator'!$E34,'Lighting Power Density'!$B$3:$B$50,"LED",'Lighting Power Density'!$C$3:$C$50,'LED Lighting Estimator'!$H34),"-")</f>
        <v>-</v>
      </c>
      <c r="R34" s="59">
        <f t="shared" si="3"/>
        <v>0</v>
      </c>
      <c r="S34" s="59">
        <f t="shared" si="8"/>
        <v>0</v>
      </c>
      <c r="T34" s="59">
        <f>M34*IFERROR(SUMIFS('LED Costs'!$C$4:$C$22,'LED Costs'!$A$4:$A$22,'LED Lighting Estimator'!$D$5,'LED Costs'!$B$4:$B$22,'LED Lighting Estimator'!$F34)*1000,0)-IF($K34="No",$D34*SUMIFS('Control Benefit'!$E$12:$E$29,'Control Benefit'!$A$12:$A$29,'LED Lighting Estimator'!$D$5,'Control Benefit'!$B$12:$B$29,'LED Lighting Estimator'!$F34),0)</f>
        <v>0</v>
      </c>
      <c r="U34" s="59">
        <f t="shared" si="4"/>
        <v>0</v>
      </c>
      <c r="V34" s="59">
        <f>IFERROR(D34*P34*(SUMIFS('Other Costs'!$F$2:$F$19,'Other Costs'!$A$2:$A$19,'LED Lighting Estimator'!G34,'Other Costs'!$C$2:$C$19,'LED Lighting Estimator'!H34)+$D$9),0)</f>
        <v>0</v>
      </c>
      <c r="W34" s="60">
        <f>IFERROR(D34*Q34*(M34*SUMIFS('LED Costs'!$C$4:$C$22,'LED Costs'!$A$4:$A$22,$D$5,'LED Costs'!$B$4:$B$22,'LED Lighting Estimator'!$F34)/1000+'LED Lighting Estimator'!$D$9),0)</f>
        <v>0</v>
      </c>
      <c r="X34" s="61">
        <f t="shared" si="5"/>
        <v>0</v>
      </c>
      <c r="Y34" s="61">
        <f>IFERROR(($N34-$O34)*'Emission factors'!$D$4,0)</f>
        <v>0</v>
      </c>
      <c r="AA34" s="84"/>
      <c r="AB34" s="84"/>
      <c r="AC34" s="68" t="str">
        <f>IFERROR(D34*INDEX('BEES Data'!$B$6:$AL$9,MATCH('LED Lighting Estimator'!AB34,'BEES Data'!$A$6:$A$9,0),MATCH('LED Lighting Estimator'!AA34,'BEES Data'!$B$5:$AL$5,0)),"-")</f>
        <v>-</v>
      </c>
      <c r="AD34" s="68">
        <f>IFERROR(AC34*INDEX('BEES Data'!$B$14:$AL$14,1,MATCH('LED Lighting Estimator'!AA34,'BEES Data'!$B$5:$AL$5,0)),0)</f>
        <v>0</v>
      </c>
      <c r="AE34" s="69">
        <f t="shared" si="6"/>
        <v>0</v>
      </c>
      <c r="AF34" s="69">
        <f>IFERROR(AD34*INDEX('BEES Data'!$B$15:$AL$15,1,MATCH('LED Lighting Estimator'!AA34,'BEES Data'!$B$5:$AL$5)),0)</f>
        <v>0</v>
      </c>
      <c r="AG34" s="93">
        <f t="shared" si="9"/>
        <v>0</v>
      </c>
    </row>
    <row r="35" spans="2:33" x14ac:dyDescent="0.3">
      <c r="B35" s="84"/>
      <c r="C35" s="31"/>
      <c r="D35" s="85"/>
      <c r="E35" s="31"/>
      <c r="F35" s="31"/>
      <c r="G35" s="31"/>
      <c r="H35" s="31"/>
      <c r="I35" s="31"/>
      <c r="J35" s="31"/>
      <c r="K35" s="31"/>
      <c r="L35" s="86">
        <f>D35*SUMIFS('Lighting Power Density'!$E$3:$E$50,'Lighting Power Density'!$A$3:$A$50,'LED Lighting Estimator'!E35,'Lighting Power Density'!$B$3:$B$50,'LED Lighting Estimator'!G35,'Lighting Power Density'!$C$3:$C$50,'LED Lighting Estimator'!H35)/1000</f>
        <v>0</v>
      </c>
      <c r="M35" s="86">
        <f>D35*SUMIFS('Lighting Power Density'!$E$3:$E$50,'Lighting Power Density'!$A$3:$A$50,'LED Lighting Estimator'!E35,'Lighting Power Density'!$B$3:$B$50,"LED",'Lighting Power Density'!$C$3:$C$50,'LED Lighting Estimator'!H35)/1000</f>
        <v>0</v>
      </c>
      <c r="N35" s="58">
        <f t="shared" si="2"/>
        <v>0</v>
      </c>
      <c r="O35" s="58">
        <f>IFERROR(I35*365.25*M35*J35/7,0)*(1-IF(K35="Yes",SUMIFS('Control Benefit'!$C$12:$C$29,'Control Benefit'!$A$12:$A$29,'LED Lighting Estimator'!$D$5,'Control Benefit'!$B$12:$B$29,'LED Lighting Estimator'!$F35),0))</f>
        <v>0</v>
      </c>
      <c r="P35" s="86" t="str">
        <f>IFERROR((I35*365.25)/SUMIFS('Lighting Power Density'!$F$3:$F$50,'Lighting Power Density'!$A$3:$A$50,'LED Lighting Estimator'!$E35,'Lighting Power Density'!$B$3:$B$50,'LED Lighting Estimator'!$G35,'Lighting Power Density'!$C$3:$C$50,'LED Lighting Estimator'!$H35),"-")</f>
        <v>-</v>
      </c>
      <c r="Q35" s="86" t="str">
        <f>IFERROR((I35*365.25)/SUMIFS('Lighting Power Density'!$F$3:$F$50,'Lighting Power Density'!$A$3:$A$50,'LED Lighting Estimator'!$E35,'Lighting Power Density'!$B$3:$B$50,"LED",'Lighting Power Density'!$C$3:$C$50,'LED Lighting Estimator'!$H35),"-")</f>
        <v>-</v>
      </c>
      <c r="R35" s="59">
        <f t="shared" si="3"/>
        <v>0</v>
      </c>
      <c r="S35" s="59">
        <f t="shared" si="8"/>
        <v>0</v>
      </c>
      <c r="T35" s="59">
        <f>M35*IFERROR(SUMIFS('LED Costs'!$C$4:$C$22,'LED Costs'!$A$4:$A$22,'LED Lighting Estimator'!$D$5,'LED Costs'!$B$4:$B$22,'LED Lighting Estimator'!$F35)*1000,0)-IF($K35="No",$D35*SUMIFS('Control Benefit'!$E$12:$E$29,'Control Benefit'!$A$12:$A$29,'LED Lighting Estimator'!$D$5,'Control Benefit'!$B$12:$B$29,'LED Lighting Estimator'!$F35),0)</f>
        <v>0</v>
      </c>
      <c r="U35" s="59">
        <f t="shared" si="4"/>
        <v>0</v>
      </c>
      <c r="V35" s="59">
        <f>IFERROR(D35*P35*(SUMIFS('Other Costs'!$F$2:$F$19,'Other Costs'!$A$2:$A$19,'LED Lighting Estimator'!G35,'Other Costs'!$C$2:$C$19,'LED Lighting Estimator'!H35)+$D$9),0)</f>
        <v>0</v>
      </c>
      <c r="W35" s="60">
        <f>IFERROR(D35*Q35*(M35*SUMIFS('LED Costs'!$C$4:$C$22,'LED Costs'!$A$4:$A$22,$D$5,'LED Costs'!$B$4:$B$22,'LED Lighting Estimator'!$F35)/1000+'LED Lighting Estimator'!$D$9),0)</f>
        <v>0</v>
      </c>
      <c r="X35" s="61">
        <f t="shared" si="5"/>
        <v>0</v>
      </c>
      <c r="Y35" s="61">
        <f>IFERROR(($N35-$O35)*'Emission factors'!$D$4,0)</f>
        <v>0</v>
      </c>
      <c r="AA35" s="84"/>
      <c r="AB35" s="84"/>
      <c r="AC35" s="68" t="str">
        <f>IFERROR(D35*INDEX('BEES Data'!$B$6:$AL$9,MATCH('LED Lighting Estimator'!AB35,'BEES Data'!$A$6:$A$9,0),MATCH('LED Lighting Estimator'!AA35,'BEES Data'!$B$5:$AL$5,0)),"-")</f>
        <v>-</v>
      </c>
      <c r="AD35" s="68">
        <f>IFERROR(AC35*INDEX('BEES Data'!$B$14:$AL$14,1,MATCH('LED Lighting Estimator'!AA35,'BEES Data'!$B$5:$AL$5,0)),0)</f>
        <v>0</v>
      </c>
      <c r="AE35" s="69">
        <f t="shared" si="6"/>
        <v>0</v>
      </c>
      <c r="AF35" s="69">
        <f>IFERROR(AD35*INDEX('BEES Data'!$B$15:$AL$15,1,MATCH('LED Lighting Estimator'!AA35,'BEES Data'!$B$5:$AL$5)),0)</f>
        <v>0</v>
      </c>
      <c r="AG35" s="93">
        <f t="shared" si="9"/>
        <v>0</v>
      </c>
    </row>
    <row r="36" spans="2:33" x14ac:dyDescent="0.3">
      <c r="B36" s="84"/>
      <c r="C36" s="31"/>
      <c r="D36" s="85"/>
      <c r="E36" s="31"/>
      <c r="F36" s="31"/>
      <c r="G36" s="31"/>
      <c r="H36" s="31"/>
      <c r="I36" s="31"/>
      <c r="J36" s="31"/>
      <c r="K36" s="31"/>
      <c r="L36" s="86">
        <f>D36*SUMIFS('Lighting Power Density'!$E$3:$E$50,'Lighting Power Density'!$A$3:$A$50,'LED Lighting Estimator'!E36,'Lighting Power Density'!$B$3:$B$50,'LED Lighting Estimator'!G36,'Lighting Power Density'!$C$3:$C$50,'LED Lighting Estimator'!H36)/1000</f>
        <v>0</v>
      </c>
      <c r="M36" s="86">
        <f>D36*SUMIFS('Lighting Power Density'!$E$3:$E$50,'Lighting Power Density'!$A$3:$A$50,'LED Lighting Estimator'!E36,'Lighting Power Density'!$B$3:$B$50,"LED",'Lighting Power Density'!$C$3:$C$50,'LED Lighting Estimator'!H36)/1000</f>
        <v>0</v>
      </c>
      <c r="N36" s="58">
        <f t="shared" si="2"/>
        <v>0</v>
      </c>
      <c r="O36" s="58">
        <f>IFERROR(I36*365.25*M36*J36/7,0)*(1-IF(K36="Yes",SUMIFS('Control Benefit'!$C$12:$C$29,'Control Benefit'!$A$12:$A$29,'LED Lighting Estimator'!$D$5,'Control Benefit'!$B$12:$B$29,'LED Lighting Estimator'!$F36),0))</f>
        <v>0</v>
      </c>
      <c r="P36" s="86" t="str">
        <f>IFERROR((I36*365.25)/SUMIFS('Lighting Power Density'!$F$3:$F$50,'Lighting Power Density'!$A$3:$A$50,'LED Lighting Estimator'!$E36,'Lighting Power Density'!$B$3:$B$50,'LED Lighting Estimator'!$G36,'Lighting Power Density'!$C$3:$C$50,'LED Lighting Estimator'!$H36),"-")</f>
        <v>-</v>
      </c>
      <c r="Q36" s="86" t="str">
        <f>IFERROR((I36*365.25)/SUMIFS('Lighting Power Density'!$F$3:$F$50,'Lighting Power Density'!$A$3:$A$50,'LED Lighting Estimator'!$E36,'Lighting Power Density'!$B$3:$B$50,"LED",'Lighting Power Density'!$C$3:$C$50,'LED Lighting Estimator'!$H36),"-")</f>
        <v>-</v>
      </c>
      <c r="R36" s="59">
        <f t="shared" si="3"/>
        <v>0</v>
      </c>
      <c r="S36" s="59">
        <f t="shared" si="8"/>
        <v>0</v>
      </c>
      <c r="T36" s="59">
        <f>M36*IFERROR(SUMIFS('LED Costs'!$C$4:$C$22,'LED Costs'!$A$4:$A$22,'LED Lighting Estimator'!$D$5,'LED Costs'!$B$4:$B$22,'LED Lighting Estimator'!$F36)*1000,0)-IF($K36="No",$D36*SUMIFS('Control Benefit'!$E$12:$E$29,'Control Benefit'!$A$12:$A$29,'LED Lighting Estimator'!$D$5,'Control Benefit'!$B$12:$B$29,'LED Lighting Estimator'!$F36),0)</f>
        <v>0</v>
      </c>
      <c r="U36" s="59">
        <f t="shared" si="4"/>
        <v>0</v>
      </c>
      <c r="V36" s="59">
        <f>IFERROR(D36*P36*(SUMIFS('Other Costs'!$F$2:$F$19,'Other Costs'!$A$2:$A$19,'LED Lighting Estimator'!G36,'Other Costs'!$C$2:$C$19,'LED Lighting Estimator'!H36)+$D$9),0)</f>
        <v>0</v>
      </c>
      <c r="W36" s="60">
        <f>IFERROR(D36*Q36*(M36*SUMIFS('LED Costs'!$C$4:$C$22,'LED Costs'!$A$4:$A$22,$D$5,'LED Costs'!$B$4:$B$22,'LED Lighting Estimator'!$F36)/1000+'LED Lighting Estimator'!$D$9),0)</f>
        <v>0</v>
      </c>
      <c r="X36" s="61">
        <f t="shared" si="5"/>
        <v>0</v>
      </c>
      <c r="Y36" s="61">
        <f>IFERROR(($N36-$O36)*'Emission factors'!$D$4,0)</f>
        <v>0</v>
      </c>
      <c r="AA36" s="84"/>
      <c r="AB36" s="84"/>
      <c r="AC36" s="68" t="str">
        <f>IFERROR(D36*INDEX('BEES Data'!$B$6:$AL$9,MATCH('LED Lighting Estimator'!AB36,'BEES Data'!$A$6:$A$9,0),MATCH('LED Lighting Estimator'!AA36,'BEES Data'!$B$5:$AL$5,0)),"-")</f>
        <v>-</v>
      </c>
      <c r="AD36" s="68">
        <f>IFERROR(AC36*INDEX('BEES Data'!$B$14:$AL$14,1,MATCH('LED Lighting Estimator'!AA36,'BEES Data'!$B$5:$AL$5,0)),0)</f>
        <v>0</v>
      </c>
      <c r="AE36" s="69">
        <f t="shared" si="6"/>
        <v>0</v>
      </c>
      <c r="AF36" s="69">
        <f>IFERROR(AD36*INDEX('BEES Data'!$B$15:$AL$15,1,MATCH('LED Lighting Estimator'!AA36,'BEES Data'!$B$5:$AL$5)),0)</f>
        <v>0</v>
      </c>
      <c r="AG36" s="93">
        <f t="shared" si="9"/>
        <v>0</v>
      </c>
    </row>
    <row r="37" spans="2:33" x14ac:dyDescent="0.3">
      <c r="B37" s="84"/>
      <c r="C37" s="31"/>
      <c r="D37" s="85"/>
      <c r="E37" s="31"/>
      <c r="F37" s="31"/>
      <c r="G37" s="31"/>
      <c r="H37" s="31"/>
      <c r="I37" s="31"/>
      <c r="J37" s="31"/>
      <c r="K37" s="31"/>
      <c r="L37" s="86">
        <f>D37*SUMIFS('Lighting Power Density'!$E$3:$E$50,'Lighting Power Density'!$A$3:$A$50,'LED Lighting Estimator'!E37,'Lighting Power Density'!$B$3:$B$50,'LED Lighting Estimator'!G37,'Lighting Power Density'!$C$3:$C$50,'LED Lighting Estimator'!H37)/1000</f>
        <v>0</v>
      </c>
      <c r="M37" s="86">
        <f>D37*SUMIFS('Lighting Power Density'!$E$3:$E$50,'Lighting Power Density'!$A$3:$A$50,'LED Lighting Estimator'!E37,'Lighting Power Density'!$B$3:$B$50,"LED",'Lighting Power Density'!$C$3:$C$50,'LED Lighting Estimator'!H37)/1000</f>
        <v>0</v>
      </c>
      <c r="N37" s="58">
        <f t="shared" si="2"/>
        <v>0</v>
      </c>
      <c r="O37" s="58">
        <f>IFERROR(I37*365.25*M37*J37/7,0)*(1-IF(K37="Yes",SUMIFS('Control Benefit'!$C$12:$C$29,'Control Benefit'!$A$12:$A$29,'LED Lighting Estimator'!$D$5,'Control Benefit'!$B$12:$B$29,'LED Lighting Estimator'!$F37),0))</f>
        <v>0</v>
      </c>
      <c r="P37" s="86" t="str">
        <f>IFERROR((I37*365.25)/SUMIFS('Lighting Power Density'!$F$3:$F$50,'Lighting Power Density'!$A$3:$A$50,'LED Lighting Estimator'!$E37,'Lighting Power Density'!$B$3:$B$50,'LED Lighting Estimator'!$G37,'Lighting Power Density'!$C$3:$C$50,'LED Lighting Estimator'!$H37),"-")</f>
        <v>-</v>
      </c>
      <c r="Q37" s="86" t="str">
        <f>IFERROR((I37*365.25)/SUMIFS('Lighting Power Density'!$F$3:$F$50,'Lighting Power Density'!$A$3:$A$50,'LED Lighting Estimator'!$E37,'Lighting Power Density'!$B$3:$B$50,"LED",'Lighting Power Density'!$C$3:$C$50,'LED Lighting Estimator'!$H37),"-")</f>
        <v>-</v>
      </c>
      <c r="R37" s="59">
        <f t="shared" si="3"/>
        <v>0</v>
      </c>
      <c r="S37" s="59">
        <f t="shared" si="8"/>
        <v>0</v>
      </c>
      <c r="T37" s="59">
        <f>M37*IFERROR(SUMIFS('LED Costs'!$C$4:$C$22,'LED Costs'!$A$4:$A$22,'LED Lighting Estimator'!$D$5,'LED Costs'!$B$4:$B$22,'LED Lighting Estimator'!$F37)*1000,0)-IF($K37="No",$D37*SUMIFS('Control Benefit'!$E$12:$E$29,'Control Benefit'!$A$12:$A$29,'LED Lighting Estimator'!$D$5,'Control Benefit'!$B$12:$B$29,'LED Lighting Estimator'!$F37),0)</f>
        <v>0</v>
      </c>
      <c r="U37" s="59">
        <f t="shared" si="4"/>
        <v>0</v>
      </c>
      <c r="V37" s="59">
        <f>IFERROR(D37*P37*(SUMIFS('Other Costs'!$F$2:$F$19,'Other Costs'!$A$2:$A$19,'LED Lighting Estimator'!G37,'Other Costs'!$C$2:$C$19,'LED Lighting Estimator'!H37)+$D$9),0)</f>
        <v>0</v>
      </c>
      <c r="W37" s="60">
        <f>IFERROR(D37*Q37*(M37*SUMIFS('LED Costs'!$C$4:$C$22,'LED Costs'!$A$4:$A$22,$D$5,'LED Costs'!$B$4:$B$22,'LED Lighting Estimator'!$F37)/1000+'LED Lighting Estimator'!$D$9),0)</f>
        <v>0</v>
      </c>
      <c r="X37" s="61">
        <f t="shared" si="5"/>
        <v>0</v>
      </c>
      <c r="Y37" s="61">
        <f>IFERROR(($N37-$O37)*'Emission factors'!$D$4,0)</f>
        <v>0</v>
      </c>
      <c r="AA37" s="84"/>
      <c r="AB37" s="84"/>
      <c r="AC37" s="68" t="str">
        <f>IFERROR(D37*INDEX('BEES Data'!$B$6:$AL$9,MATCH('LED Lighting Estimator'!AB37,'BEES Data'!$A$6:$A$9,0),MATCH('LED Lighting Estimator'!AA37,'BEES Data'!$B$5:$AL$5,0)),"-")</f>
        <v>-</v>
      </c>
      <c r="AD37" s="68">
        <f>IFERROR(AC37*INDEX('BEES Data'!$B$14:$AL$14,1,MATCH('LED Lighting Estimator'!AA37,'BEES Data'!$B$5:$AL$5,0)),0)</f>
        <v>0</v>
      </c>
      <c r="AE37" s="69">
        <f t="shared" si="6"/>
        <v>0</v>
      </c>
      <c r="AF37" s="69">
        <f>IFERROR(AD37*INDEX('BEES Data'!$B$15:$AL$15,1,MATCH('LED Lighting Estimator'!AA37,'BEES Data'!$B$5:$AL$5)),0)</f>
        <v>0</v>
      </c>
      <c r="AG37" s="93">
        <f t="shared" si="9"/>
        <v>0</v>
      </c>
    </row>
    <row r="38" spans="2:33" x14ac:dyDescent="0.3">
      <c r="B38" s="84"/>
      <c r="C38" s="31"/>
      <c r="D38" s="85"/>
      <c r="E38" s="31"/>
      <c r="F38" s="31"/>
      <c r="G38" s="31"/>
      <c r="H38" s="31"/>
      <c r="I38" s="31"/>
      <c r="J38" s="31"/>
      <c r="K38" s="31"/>
      <c r="L38" s="86">
        <f>D38*SUMIFS('Lighting Power Density'!$E$3:$E$50,'Lighting Power Density'!$A$3:$A$50,'LED Lighting Estimator'!E38,'Lighting Power Density'!$B$3:$B$50,'LED Lighting Estimator'!G38,'Lighting Power Density'!$C$3:$C$50,'LED Lighting Estimator'!H38)/1000</f>
        <v>0</v>
      </c>
      <c r="M38" s="86">
        <f>D38*SUMIFS('Lighting Power Density'!$E$3:$E$50,'Lighting Power Density'!$A$3:$A$50,'LED Lighting Estimator'!E38,'Lighting Power Density'!$B$3:$B$50,"LED",'Lighting Power Density'!$C$3:$C$50,'LED Lighting Estimator'!H38)/1000</f>
        <v>0</v>
      </c>
      <c r="N38" s="58">
        <f t="shared" si="2"/>
        <v>0</v>
      </c>
      <c r="O38" s="58">
        <f>IFERROR(I38*365.25*M38*J38/7,0)*(1-IF(K38="Yes",SUMIFS('Control Benefit'!$C$12:$C$29,'Control Benefit'!$A$12:$A$29,'LED Lighting Estimator'!$D$5,'Control Benefit'!$B$12:$B$29,'LED Lighting Estimator'!$F38),0))</f>
        <v>0</v>
      </c>
      <c r="P38" s="86" t="str">
        <f>IFERROR((I38*365.25)/SUMIFS('Lighting Power Density'!$F$3:$F$50,'Lighting Power Density'!$A$3:$A$50,'LED Lighting Estimator'!$E38,'Lighting Power Density'!$B$3:$B$50,'LED Lighting Estimator'!$G38,'Lighting Power Density'!$C$3:$C$50,'LED Lighting Estimator'!$H38),"-")</f>
        <v>-</v>
      </c>
      <c r="Q38" s="86" t="str">
        <f>IFERROR((I38*365.25)/SUMIFS('Lighting Power Density'!$F$3:$F$50,'Lighting Power Density'!$A$3:$A$50,'LED Lighting Estimator'!$E38,'Lighting Power Density'!$B$3:$B$50,"LED",'Lighting Power Density'!$C$3:$C$50,'LED Lighting Estimator'!$H38),"-")</f>
        <v>-</v>
      </c>
      <c r="R38" s="59">
        <f t="shared" si="3"/>
        <v>0</v>
      </c>
      <c r="S38" s="59">
        <f t="shared" si="8"/>
        <v>0</v>
      </c>
      <c r="T38" s="59">
        <f>M38*IFERROR(SUMIFS('LED Costs'!$C$4:$C$22,'LED Costs'!$A$4:$A$22,'LED Lighting Estimator'!$D$5,'LED Costs'!$B$4:$B$22,'LED Lighting Estimator'!$F38)*1000,0)-IF($K38="No",$D38*SUMIFS('Control Benefit'!$E$12:$E$29,'Control Benefit'!$A$12:$A$29,'LED Lighting Estimator'!$D$5,'Control Benefit'!$B$12:$B$29,'LED Lighting Estimator'!$F38),0)</f>
        <v>0</v>
      </c>
      <c r="U38" s="59">
        <f t="shared" si="4"/>
        <v>0</v>
      </c>
      <c r="V38" s="59">
        <f>IFERROR(D38*P38*(SUMIFS('Other Costs'!$F$2:$F$19,'Other Costs'!$A$2:$A$19,'LED Lighting Estimator'!G38,'Other Costs'!$C$2:$C$19,'LED Lighting Estimator'!H38)+$D$9),0)</f>
        <v>0</v>
      </c>
      <c r="W38" s="60">
        <f>IFERROR(D38*Q38*(M38*SUMIFS('LED Costs'!$C$4:$C$22,'LED Costs'!$A$4:$A$22,$D$5,'LED Costs'!$B$4:$B$22,'LED Lighting Estimator'!$F38)/1000+'LED Lighting Estimator'!$D$9),0)</f>
        <v>0</v>
      </c>
      <c r="X38" s="61">
        <f t="shared" si="5"/>
        <v>0</v>
      </c>
      <c r="Y38" s="61">
        <f>IFERROR(($N38-$O38)*'Emission factors'!$D$4,0)</f>
        <v>0</v>
      </c>
      <c r="AA38" s="84"/>
      <c r="AB38" s="84"/>
      <c r="AC38" s="68" t="str">
        <f>IFERROR(D38*INDEX('BEES Data'!$B$6:$AL$9,MATCH('LED Lighting Estimator'!AB38,'BEES Data'!$A$6:$A$9,0),MATCH('LED Lighting Estimator'!AA38,'BEES Data'!$B$5:$AL$5,0)),"-")</f>
        <v>-</v>
      </c>
      <c r="AD38" s="68">
        <f>IFERROR(AC38*INDEX('BEES Data'!$B$14:$AL$14,1,MATCH('LED Lighting Estimator'!AA38,'BEES Data'!$B$5:$AL$5,0)),0)</f>
        <v>0</v>
      </c>
      <c r="AE38" s="69">
        <f t="shared" si="6"/>
        <v>0</v>
      </c>
      <c r="AF38" s="69">
        <f>IFERROR(AD38*INDEX('BEES Data'!$B$15:$AL$15,1,MATCH('LED Lighting Estimator'!AA38,'BEES Data'!$B$5:$AL$5)),0)</f>
        <v>0</v>
      </c>
      <c r="AG38" s="93">
        <f t="shared" si="9"/>
        <v>0</v>
      </c>
    </row>
    <row r="39" spans="2:33" x14ac:dyDescent="0.3">
      <c r="B39" s="84"/>
      <c r="C39" s="31"/>
      <c r="D39" s="85"/>
      <c r="E39" s="31"/>
      <c r="F39" s="31"/>
      <c r="G39" s="31"/>
      <c r="H39" s="31"/>
      <c r="I39" s="31"/>
      <c r="J39" s="31"/>
      <c r="K39" s="31"/>
      <c r="L39" s="86">
        <f>D39*SUMIFS('Lighting Power Density'!$E$3:$E$50,'Lighting Power Density'!$A$3:$A$50,'LED Lighting Estimator'!E39,'Lighting Power Density'!$B$3:$B$50,'LED Lighting Estimator'!G39,'Lighting Power Density'!$C$3:$C$50,'LED Lighting Estimator'!H39)/1000</f>
        <v>0</v>
      </c>
      <c r="M39" s="86">
        <f>D39*SUMIFS('Lighting Power Density'!$E$3:$E$50,'Lighting Power Density'!$A$3:$A$50,'LED Lighting Estimator'!E39,'Lighting Power Density'!$B$3:$B$50,"LED",'Lighting Power Density'!$C$3:$C$50,'LED Lighting Estimator'!H39)/1000</f>
        <v>0</v>
      </c>
      <c r="N39" s="58">
        <f t="shared" si="2"/>
        <v>0</v>
      </c>
      <c r="O39" s="58">
        <f>IFERROR(I39*365.25*M39*J39/7,0)*(1-IF(K39="Yes",SUMIFS('Control Benefit'!$C$12:$C$29,'Control Benefit'!$A$12:$A$29,'LED Lighting Estimator'!$D$5,'Control Benefit'!$B$12:$B$29,'LED Lighting Estimator'!$F39),0))</f>
        <v>0</v>
      </c>
      <c r="P39" s="86" t="str">
        <f>IFERROR((I39*365.25)/SUMIFS('Lighting Power Density'!$F$3:$F$50,'Lighting Power Density'!$A$3:$A$50,'LED Lighting Estimator'!$E39,'Lighting Power Density'!$B$3:$B$50,'LED Lighting Estimator'!$G39,'Lighting Power Density'!$C$3:$C$50,'LED Lighting Estimator'!$H39),"-")</f>
        <v>-</v>
      </c>
      <c r="Q39" s="86" t="str">
        <f>IFERROR((I39*365.25)/SUMIFS('Lighting Power Density'!$F$3:$F$50,'Lighting Power Density'!$A$3:$A$50,'LED Lighting Estimator'!$E39,'Lighting Power Density'!$B$3:$B$50,"LED",'Lighting Power Density'!$C$3:$C$50,'LED Lighting Estimator'!$H39),"-")</f>
        <v>-</v>
      </c>
      <c r="R39" s="59">
        <f t="shared" si="3"/>
        <v>0</v>
      </c>
      <c r="S39" s="59">
        <f t="shared" si="8"/>
        <v>0</v>
      </c>
      <c r="T39" s="59">
        <f>M39*IFERROR(SUMIFS('LED Costs'!$C$4:$C$22,'LED Costs'!$A$4:$A$22,'LED Lighting Estimator'!$D$5,'LED Costs'!$B$4:$B$22,'LED Lighting Estimator'!$F39)*1000,0)-IF($K39="No",$D39*SUMIFS('Control Benefit'!$E$12:$E$29,'Control Benefit'!$A$12:$A$29,'LED Lighting Estimator'!$D$5,'Control Benefit'!$B$12:$B$29,'LED Lighting Estimator'!$F39),0)</f>
        <v>0</v>
      </c>
      <c r="U39" s="59">
        <f t="shared" si="4"/>
        <v>0</v>
      </c>
      <c r="V39" s="59">
        <f>IFERROR(D39*P39*(SUMIFS('Other Costs'!$F$2:$F$19,'Other Costs'!$A$2:$A$19,'LED Lighting Estimator'!G39,'Other Costs'!$C$2:$C$19,'LED Lighting Estimator'!H39)+$D$9),0)</f>
        <v>0</v>
      </c>
      <c r="W39" s="60">
        <f>IFERROR(D39*Q39*(M39*SUMIFS('LED Costs'!$C$4:$C$22,'LED Costs'!$A$4:$A$22,$D$5,'LED Costs'!$B$4:$B$22,'LED Lighting Estimator'!$F39)/1000+'LED Lighting Estimator'!$D$9),0)</f>
        <v>0</v>
      </c>
      <c r="X39" s="61">
        <f t="shared" si="5"/>
        <v>0</v>
      </c>
      <c r="Y39" s="61">
        <f>IFERROR(($N39-$O39)*'Emission factors'!$D$4,0)</f>
        <v>0</v>
      </c>
      <c r="AA39" s="84"/>
      <c r="AB39" s="84"/>
      <c r="AC39" s="68" t="str">
        <f>IFERROR(D39*INDEX('BEES Data'!$B$6:$AL$9,MATCH('LED Lighting Estimator'!AB39,'BEES Data'!$A$6:$A$9,0),MATCH('LED Lighting Estimator'!AA39,'BEES Data'!$B$5:$AL$5,0)),"-")</f>
        <v>-</v>
      </c>
      <c r="AD39" s="68">
        <f>IFERROR(AC39*INDEX('BEES Data'!$B$14:$AL$14,1,MATCH('LED Lighting Estimator'!AA39,'BEES Data'!$B$5:$AL$5,0)),0)</f>
        <v>0</v>
      </c>
      <c r="AE39" s="69">
        <f t="shared" si="6"/>
        <v>0</v>
      </c>
      <c r="AF39" s="69">
        <f>IFERROR(AD39*INDEX('BEES Data'!$B$15:$AL$15,1,MATCH('LED Lighting Estimator'!AA39,'BEES Data'!$B$5:$AL$5)),0)</f>
        <v>0</v>
      </c>
      <c r="AG39" s="93">
        <f t="shared" si="9"/>
        <v>0</v>
      </c>
    </row>
    <row r="40" spans="2:33" x14ac:dyDescent="0.3">
      <c r="B40" s="84"/>
      <c r="C40" s="31"/>
      <c r="D40" s="85"/>
      <c r="E40" s="31"/>
      <c r="F40" s="31"/>
      <c r="G40" s="31"/>
      <c r="H40" s="31"/>
      <c r="I40" s="31"/>
      <c r="J40" s="31"/>
      <c r="K40" s="31"/>
      <c r="L40" s="86">
        <f>D40*SUMIFS('Lighting Power Density'!$E$3:$E$50,'Lighting Power Density'!$A$3:$A$50,'LED Lighting Estimator'!E40,'Lighting Power Density'!$B$3:$B$50,'LED Lighting Estimator'!G40,'Lighting Power Density'!$C$3:$C$50,'LED Lighting Estimator'!H40)/1000</f>
        <v>0</v>
      </c>
      <c r="M40" s="86">
        <f>D40*SUMIFS('Lighting Power Density'!$E$3:$E$50,'Lighting Power Density'!$A$3:$A$50,'LED Lighting Estimator'!E40,'Lighting Power Density'!$B$3:$B$50,"LED",'Lighting Power Density'!$C$3:$C$50,'LED Lighting Estimator'!H40)/1000</f>
        <v>0</v>
      </c>
      <c r="N40" s="58">
        <f t="shared" si="2"/>
        <v>0</v>
      </c>
      <c r="O40" s="58">
        <f>IFERROR(I40*365.25*M40*J40/7,0)*(1-IF(K40="Yes",SUMIFS('Control Benefit'!$C$12:$C$29,'Control Benefit'!$A$12:$A$29,'LED Lighting Estimator'!$D$5,'Control Benefit'!$B$12:$B$29,'LED Lighting Estimator'!$F40),0))</f>
        <v>0</v>
      </c>
      <c r="P40" s="86" t="str">
        <f>IFERROR((I40*365.25)/SUMIFS('Lighting Power Density'!$F$3:$F$50,'Lighting Power Density'!$A$3:$A$50,'LED Lighting Estimator'!$E40,'Lighting Power Density'!$B$3:$B$50,'LED Lighting Estimator'!$G40,'Lighting Power Density'!$C$3:$C$50,'LED Lighting Estimator'!$H40),"-")</f>
        <v>-</v>
      </c>
      <c r="Q40" s="86" t="str">
        <f>IFERROR((I40*365.25)/SUMIFS('Lighting Power Density'!$F$3:$F$50,'Lighting Power Density'!$A$3:$A$50,'LED Lighting Estimator'!$E40,'Lighting Power Density'!$B$3:$B$50,"LED",'Lighting Power Density'!$C$3:$C$50,'LED Lighting Estimator'!$H40),"-")</f>
        <v>-</v>
      </c>
      <c r="R40" s="59">
        <f t="shared" si="3"/>
        <v>0</v>
      </c>
      <c r="S40" s="59">
        <f t="shared" si="8"/>
        <v>0</v>
      </c>
      <c r="T40" s="59">
        <f>M40*IFERROR(SUMIFS('LED Costs'!$C$4:$C$22,'LED Costs'!$A$4:$A$22,'LED Lighting Estimator'!$D$5,'LED Costs'!$B$4:$B$22,'LED Lighting Estimator'!$F40)*1000,0)-IF($K40="No",$D40*SUMIFS('Control Benefit'!$E$12:$E$29,'Control Benefit'!$A$12:$A$29,'LED Lighting Estimator'!$D$5,'Control Benefit'!$B$12:$B$29,'LED Lighting Estimator'!$F40),0)</f>
        <v>0</v>
      </c>
      <c r="U40" s="59">
        <f t="shared" si="4"/>
        <v>0</v>
      </c>
      <c r="V40" s="59">
        <f>IFERROR(D40*P40*(SUMIFS('Other Costs'!$F$2:$F$19,'Other Costs'!$A$2:$A$19,'LED Lighting Estimator'!G40,'Other Costs'!$C$2:$C$19,'LED Lighting Estimator'!H40)+$D$9),0)</f>
        <v>0</v>
      </c>
      <c r="W40" s="60">
        <f>IFERROR(D40*Q40*(M40*SUMIFS('LED Costs'!$C$4:$C$22,'LED Costs'!$A$4:$A$22,$D$5,'LED Costs'!$B$4:$B$22,'LED Lighting Estimator'!$F40)/1000+'LED Lighting Estimator'!$D$9),0)</f>
        <v>0</v>
      </c>
      <c r="X40" s="61">
        <f t="shared" si="5"/>
        <v>0</v>
      </c>
      <c r="Y40" s="61">
        <f>IFERROR(($N40-$O40)*'Emission factors'!$D$4,0)</f>
        <v>0</v>
      </c>
      <c r="AA40" s="84"/>
      <c r="AB40" s="84"/>
      <c r="AC40" s="68" t="str">
        <f>IFERROR(D40*INDEX('BEES Data'!$B$6:$AL$9,MATCH('LED Lighting Estimator'!AB40,'BEES Data'!$A$6:$A$9,0),MATCH('LED Lighting Estimator'!AA40,'BEES Data'!$B$5:$AL$5,0)),"-")</f>
        <v>-</v>
      </c>
      <c r="AD40" s="68">
        <f>IFERROR(AC40*INDEX('BEES Data'!$B$14:$AL$14,1,MATCH('LED Lighting Estimator'!AA40,'BEES Data'!$B$5:$AL$5,0)),0)</f>
        <v>0</v>
      </c>
      <c r="AE40" s="69">
        <f t="shared" si="6"/>
        <v>0</v>
      </c>
      <c r="AF40" s="69">
        <f>IFERROR(AD40*INDEX('BEES Data'!$B$15:$AL$15,1,MATCH('LED Lighting Estimator'!AA40,'BEES Data'!$B$5:$AL$5)),0)</f>
        <v>0</v>
      </c>
      <c r="AG40" s="93">
        <f t="shared" si="9"/>
        <v>0</v>
      </c>
    </row>
    <row r="41" spans="2:33" x14ac:dyDescent="0.3">
      <c r="B41" s="84"/>
      <c r="C41" s="31"/>
      <c r="D41" s="85"/>
      <c r="E41" s="31"/>
      <c r="F41" s="31"/>
      <c r="G41" s="31"/>
      <c r="H41" s="31"/>
      <c r="I41" s="31"/>
      <c r="J41" s="31"/>
      <c r="K41" s="31"/>
      <c r="L41" s="86">
        <f>D41*SUMIFS('Lighting Power Density'!$E$3:$E$50,'Lighting Power Density'!$A$3:$A$50,'LED Lighting Estimator'!E41,'Lighting Power Density'!$B$3:$B$50,'LED Lighting Estimator'!G41,'Lighting Power Density'!$C$3:$C$50,'LED Lighting Estimator'!H41)/1000</f>
        <v>0</v>
      </c>
      <c r="M41" s="86">
        <f>D41*SUMIFS('Lighting Power Density'!$E$3:$E$50,'Lighting Power Density'!$A$3:$A$50,'LED Lighting Estimator'!E41,'Lighting Power Density'!$B$3:$B$50,"LED",'Lighting Power Density'!$C$3:$C$50,'LED Lighting Estimator'!H41)/1000</f>
        <v>0</v>
      </c>
      <c r="N41" s="58">
        <f t="shared" si="2"/>
        <v>0</v>
      </c>
      <c r="O41" s="58">
        <f>IFERROR(I41*365.25*M41*J41/7,0)*(1-IF(K41="Yes",SUMIFS('Control Benefit'!$C$12:$C$29,'Control Benefit'!$A$12:$A$29,'LED Lighting Estimator'!$D$5,'Control Benefit'!$B$12:$B$29,'LED Lighting Estimator'!$F41),0))</f>
        <v>0</v>
      </c>
      <c r="P41" s="86" t="str">
        <f>IFERROR((I41*365.25)/SUMIFS('Lighting Power Density'!$F$3:$F$50,'Lighting Power Density'!$A$3:$A$50,'LED Lighting Estimator'!$E41,'Lighting Power Density'!$B$3:$B$50,'LED Lighting Estimator'!$G41,'Lighting Power Density'!$C$3:$C$50,'LED Lighting Estimator'!$H41),"-")</f>
        <v>-</v>
      </c>
      <c r="Q41" s="86" t="str">
        <f>IFERROR((I41*365.25)/SUMIFS('Lighting Power Density'!$F$3:$F$50,'Lighting Power Density'!$A$3:$A$50,'LED Lighting Estimator'!$E41,'Lighting Power Density'!$B$3:$B$50,"LED",'Lighting Power Density'!$C$3:$C$50,'LED Lighting Estimator'!$H41),"-")</f>
        <v>-</v>
      </c>
      <c r="R41" s="59">
        <f t="shared" si="3"/>
        <v>0</v>
      </c>
      <c r="S41" s="59">
        <f t="shared" si="8"/>
        <v>0</v>
      </c>
      <c r="T41" s="59">
        <f>M41*IFERROR(SUMIFS('LED Costs'!$C$4:$C$22,'LED Costs'!$A$4:$A$22,'LED Lighting Estimator'!$D$5,'LED Costs'!$B$4:$B$22,'LED Lighting Estimator'!$F41)*1000,0)-IF($K41="No",$D41*SUMIFS('Control Benefit'!$E$12:$E$29,'Control Benefit'!$A$12:$A$29,'LED Lighting Estimator'!$D$5,'Control Benefit'!$B$12:$B$29,'LED Lighting Estimator'!$F41),0)</f>
        <v>0</v>
      </c>
      <c r="U41" s="59">
        <f t="shared" si="4"/>
        <v>0</v>
      </c>
      <c r="V41" s="59">
        <f>IFERROR(D41*P41*(SUMIFS('Other Costs'!$F$2:$F$19,'Other Costs'!$A$2:$A$19,'LED Lighting Estimator'!G41,'Other Costs'!$C$2:$C$19,'LED Lighting Estimator'!H41)+$D$9),0)</f>
        <v>0</v>
      </c>
      <c r="W41" s="60">
        <f>IFERROR(D41*Q41*(M41*SUMIFS('LED Costs'!$C$4:$C$22,'LED Costs'!$A$4:$A$22,$D$5,'LED Costs'!$B$4:$B$22,'LED Lighting Estimator'!$F41)/1000+'LED Lighting Estimator'!$D$9),0)</f>
        <v>0</v>
      </c>
      <c r="X41" s="61">
        <f t="shared" si="5"/>
        <v>0</v>
      </c>
      <c r="Y41" s="61">
        <f>IFERROR(($N41-$O41)*'Emission factors'!$D$4,0)</f>
        <v>0</v>
      </c>
      <c r="AA41" s="84"/>
      <c r="AB41" s="84"/>
      <c r="AC41" s="68" t="str">
        <f>IFERROR(D41*INDEX('BEES Data'!$B$6:$AL$9,MATCH('LED Lighting Estimator'!AB41,'BEES Data'!$A$6:$A$9,0),MATCH('LED Lighting Estimator'!AA41,'BEES Data'!$B$5:$AL$5,0)),"-")</f>
        <v>-</v>
      </c>
      <c r="AD41" s="68">
        <f>IFERROR(AC41*INDEX('BEES Data'!$B$14:$AL$14,1,MATCH('LED Lighting Estimator'!AA41,'BEES Data'!$B$5:$AL$5,0)),0)</f>
        <v>0</v>
      </c>
      <c r="AE41" s="69">
        <f t="shared" si="6"/>
        <v>0</v>
      </c>
      <c r="AF41" s="69">
        <f>IFERROR(AD41*INDEX('BEES Data'!$B$15:$AL$15,1,MATCH('LED Lighting Estimator'!AA41,'BEES Data'!$B$5:$AL$5)),0)</f>
        <v>0</v>
      </c>
      <c r="AG41" s="93">
        <f t="shared" si="9"/>
        <v>0</v>
      </c>
    </row>
    <row r="42" spans="2:33" x14ac:dyDescent="0.3">
      <c r="B42" s="84"/>
      <c r="C42" s="31"/>
      <c r="D42" s="85"/>
      <c r="E42" s="31"/>
      <c r="F42" s="31"/>
      <c r="G42" s="31"/>
      <c r="H42" s="31"/>
      <c r="I42" s="31"/>
      <c r="J42" s="31"/>
      <c r="K42" s="31"/>
      <c r="L42" s="86">
        <f>D42*SUMIFS('Lighting Power Density'!$E$3:$E$50,'Lighting Power Density'!$A$3:$A$50,'LED Lighting Estimator'!E42,'Lighting Power Density'!$B$3:$B$50,'LED Lighting Estimator'!G42,'Lighting Power Density'!$C$3:$C$50,'LED Lighting Estimator'!H42)/1000</f>
        <v>0</v>
      </c>
      <c r="M42" s="86">
        <f>D42*SUMIFS('Lighting Power Density'!$E$3:$E$50,'Lighting Power Density'!$A$3:$A$50,'LED Lighting Estimator'!E42,'Lighting Power Density'!$B$3:$B$50,"LED",'Lighting Power Density'!$C$3:$C$50,'LED Lighting Estimator'!H42)/1000</f>
        <v>0</v>
      </c>
      <c r="N42" s="58">
        <f t="shared" si="2"/>
        <v>0</v>
      </c>
      <c r="O42" s="58">
        <f>IFERROR(I42*365.25*M42*J42/7,0)*(1-IF(K42="Yes",SUMIFS('Control Benefit'!$C$12:$C$29,'Control Benefit'!$A$12:$A$29,'LED Lighting Estimator'!$D$5,'Control Benefit'!$B$12:$B$29,'LED Lighting Estimator'!$F42),0))</f>
        <v>0</v>
      </c>
      <c r="P42" s="86" t="str">
        <f>IFERROR((I42*365.25)/SUMIFS('Lighting Power Density'!$F$3:$F$50,'Lighting Power Density'!$A$3:$A$50,'LED Lighting Estimator'!$E42,'Lighting Power Density'!$B$3:$B$50,'LED Lighting Estimator'!$G42,'Lighting Power Density'!$C$3:$C$50,'LED Lighting Estimator'!$H42),"-")</f>
        <v>-</v>
      </c>
      <c r="Q42" s="86" t="str">
        <f>IFERROR((I42*365.25)/SUMIFS('Lighting Power Density'!$F$3:$F$50,'Lighting Power Density'!$A$3:$A$50,'LED Lighting Estimator'!$E42,'Lighting Power Density'!$B$3:$B$50,"LED",'Lighting Power Density'!$C$3:$C$50,'LED Lighting Estimator'!$H42),"-")</f>
        <v>-</v>
      </c>
      <c r="R42" s="59">
        <f t="shared" si="3"/>
        <v>0</v>
      </c>
      <c r="S42" s="59">
        <f t="shared" si="8"/>
        <v>0</v>
      </c>
      <c r="T42" s="59">
        <f>M42*IFERROR(SUMIFS('LED Costs'!$C$4:$C$22,'LED Costs'!$A$4:$A$22,'LED Lighting Estimator'!$D$5,'LED Costs'!$B$4:$B$22,'LED Lighting Estimator'!$F42)*1000,0)-IF($K42="No",$D42*SUMIFS('Control Benefit'!$E$12:$E$29,'Control Benefit'!$A$12:$A$29,'LED Lighting Estimator'!$D$5,'Control Benefit'!$B$12:$B$29,'LED Lighting Estimator'!$F42),0)</f>
        <v>0</v>
      </c>
      <c r="U42" s="59">
        <f t="shared" si="4"/>
        <v>0</v>
      </c>
      <c r="V42" s="59">
        <f>IFERROR(D42*P42*(SUMIFS('Other Costs'!$F$2:$F$19,'Other Costs'!$A$2:$A$19,'LED Lighting Estimator'!G42,'Other Costs'!$C$2:$C$19,'LED Lighting Estimator'!H42)+$D$9),0)</f>
        <v>0</v>
      </c>
      <c r="W42" s="60">
        <f>IFERROR(D42*Q42*(M42*SUMIFS('LED Costs'!$C$4:$C$22,'LED Costs'!$A$4:$A$22,$D$5,'LED Costs'!$B$4:$B$22,'LED Lighting Estimator'!$F42)/1000+'LED Lighting Estimator'!$D$9),0)</f>
        <v>0</v>
      </c>
      <c r="X42" s="61">
        <f t="shared" si="5"/>
        <v>0</v>
      </c>
      <c r="Y42" s="61">
        <f>IFERROR(($N42-$O42)*'Emission factors'!$D$4,0)</f>
        <v>0</v>
      </c>
      <c r="AA42" s="84"/>
      <c r="AB42" s="84"/>
      <c r="AC42" s="68" t="str">
        <f>IFERROR(D42*INDEX('BEES Data'!$B$6:$AL$9,MATCH('LED Lighting Estimator'!AB42,'BEES Data'!$A$6:$A$9,0),MATCH('LED Lighting Estimator'!AA42,'BEES Data'!$B$5:$AL$5,0)),"-")</f>
        <v>-</v>
      </c>
      <c r="AD42" s="68">
        <f>IFERROR(AC42*INDEX('BEES Data'!$B$14:$AL$14,1,MATCH('LED Lighting Estimator'!AA42,'BEES Data'!$B$5:$AL$5,0)),0)</f>
        <v>0</v>
      </c>
      <c r="AE42" s="69">
        <f t="shared" si="6"/>
        <v>0</v>
      </c>
      <c r="AF42" s="69">
        <f>IFERROR(AD42*INDEX('BEES Data'!$B$15:$AL$15,1,MATCH('LED Lighting Estimator'!AA42,'BEES Data'!$B$5:$AL$5)),0)</f>
        <v>0</v>
      </c>
      <c r="AG42" s="93">
        <f t="shared" si="9"/>
        <v>0</v>
      </c>
    </row>
    <row r="43" spans="2:33" x14ac:dyDescent="0.3">
      <c r="B43" s="84"/>
      <c r="C43" s="31"/>
      <c r="D43" s="85"/>
      <c r="E43" s="31"/>
      <c r="F43" s="31"/>
      <c r="G43" s="31"/>
      <c r="H43" s="31"/>
      <c r="I43" s="31"/>
      <c r="J43" s="31"/>
      <c r="K43" s="31"/>
      <c r="L43" s="86">
        <f>D43*SUMIFS('Lighting Power Density'!$E$3:$E$50,'Lighting Power Density'!$A$3:$A$50,'LED Lighting Estimator'!E43,'Lighting Power Density'!$B$3:$B$50,'LED Lighting Estimator'!G43,'Lighting Power Density'!$C$3:$C$50,'LED Lighting Estimator'!H43)/1000</f>
        <v>0</v>
      </c>
      <c r="M43" s="86">
        <f>D43*SUMIFS('Lighting Power Density'!$E$3:$E$50,'Lighting Power Density'!$A$3:$A$50,'LED Lighting Estimator'!E43,'Lighting Power Density'!$B$3:$B$50,"LED",'Lighting Power Density'!$C$3:$C$50,'LED Lighting Estimator'!H43)/1000</f>
        <v>0</v>
      </c>
      <c r="N43" s="58">
        <f t="shared" si="2"/>
        <v>0</v>
      </c>
      <c r="O43" s="58">
        <f>IFERROR(I43*365.25*M43*J43/7,0)*(1-IF(K43="Yes",SUMIFS('Control Benefit'!$C$12:$C$29,'Control Benefit'!$A$12:$A$29,'LED Lighting Estimator'!$D$5,'Control Benefit'!$B$12:$B$29,'LED Lighting Estimator'!$F43),0))</f>
        <v>0</v>
      </c>
      <c r="P43" s="86" t="str">
        <f>IFERROR((I43*365.25)/SUMIFS('Lighting Power Density'!$F$3:$F$50,'Lighting Power Density'!$A$3:$A$50,'LED Lighting Estimator'!$E43,'Lighting Power Density'!$B$3:$B$50,'LED Lighting Estimator'!$G43,'Lighting Power Density'!$C$3:$C$50,'LED Lighting Estimator'!$H43),"-")</f>
        <v>-</v>
      </c>
      <c r="Q43" s="86" t="str">
        <f>IFERROR((I43*365.25)/SUMIFS('Lighting Power Density'!$F$3:$F$50,'Lighting Power Density'!$A$3:$A$50,'LED Lighting Estimator'!$E43,'Lighting Power Density'!$B$3:$B$50,"LED",'Lighting Power Density'!$C$3:$C$50,'LED Lighting Estimator'!$H43),"-")</f>
        <v>-</v>
      </c>
      <c r="R43" s="59">
        <f t="shared" si="3"/>
        <v>0</v>
      </c>
      <c r="S43" s="59">
        <f t="shared" si="8"/>
        <v>0</v>
      </c>
      <c r="T43" s="59">
        <f>M43*IFERROR(SUMIFS('LED Costs'!$C$4:$C$22,'LED Costs'!$A$4:$A$22,'LED Lighting Estimator'!$D$5,'LED Costs'!$B$4:$B$22,'LED Lighting Estimator'!$F43)*1000,0)-IF($K43="No",$D43*SUMIFS('Control Benefit'!$E$12:$E$29,'Control Benefit'!$A$12:$A$29,'LED Lighting Estimator'!$D$5,'Control Benefit'!$B$12:$B$29,'LED Lighting Estimator'!$F43),0)</f>
        <v>0</v>
      </c>
      <c r="U43" s="59">
        <f t="shared" si="4"/>
        <v>0</v>
      </c>
      <c r="V43" s="59">
        <f>IFERROR(D43*P43*(SUMIFS('Other Costs'!$F$2:$F$19,'Other Costs'!$A$2:$A$19,'LED Lighting Estimator'!G43,'Other Costs'!$C$2:$C$19,'LED Lighting Estimator'!H43)+$D$9),0)</f>
        <v>0</v>
      </c>
      <c r="W43" s="60">
        <f>IFERROR(D43*Q43*(M43*SUMIFS('LED Costs'!$C$4:$C$22,'LED Costs'!$A$4:$A$22,$D$5,'LED Costs'!$B$4:$B$22,'LED Lighting Estimator'!$F43)/1000+'LED Lighting Estimator'!$D$9),0)</f>
        <v>0</v>
      </c>
      <c r="X43" s="61">
        <f t="shared" si="5"/>
        <v>0</v>
      </c>
      <c r="Y43" s="61">
        <f>IFERROR(($N43-$O43)*'Emission factors'!$D$4,0)</f>
        <v>0</v>
      </c>
      <c r="AA43" s="84"/>
      <c r="AB43" s="84"/>
      <c r="AC43" s="68" t="str">
        <f>IFERROR(D43*INDEX('BEES Data'!$B$6:$AL$9,MATCH('LED Lighting Estimator'!AB43,'BEES Data'!$A$6:$A$9,0),MATCH('LED Lighting Estimator'!AA43,'BEES Data'!$B$5:$AL$5,0)),"-")</f>
        <v>-</v>
      </c>
      <c r="AD43" s="68">
        <f>IFERROR(AC43*INDEX('BEES Data'!$B$14:$AL$14,1,MATCH('LED Lighting Estimator'!AA43,'BEES Data'!$B$5:$AL$5,0)),0)</f>
        <v>0</v>
      </c>
      <c r="AE43" s="69">
        <f t="shared" si="6"/>
        <v>0</v>
      </c>
      <c r="AF43" s="69">
        <f>IFERROR(AD43*INDEX('BEES Data'!$B$15:$AL$15,1,MATCH('LED Lighting Estimator'!AA43,'BEES Data'!$B$5:$AL$5)),0)</f>
        <v>0</v>
      </c>
      <c r="AG43" s="93">
        <f t="shared" si="9"/>
        <v>0</v>
      </c>
    </row>
    <row r="44" spans="2:33" x14ac:dyDescent="0.3">
      <c r="B44" s="84"/>
      <c r="C44" s="31"/>
      <c r="D44" s="85"/>
      <c r="E44" s="31"/>
      <c r="F44" s="31"/>
      <c r="G44" s="31"/>
      <c r="H44" s="31"/>
      <c r="I44" s="31"/>
      <c r="J44" s="31"/>
      <c r="K44" s="31"/>
      <c r="L44" s="86">
        <f>D44*SUMIFS('Lighting Power Density'!$E$3:$E$50,'Lighting Power Density'!$A$3:$A$50,'LED Lighting Estimator'!E44,'Lighting Power Density'!$B$3:$B$50,'LED Lighting Estimator'!G44,'Lighting Power Density'!$C$3:$C$50,'LED Lighting Estimator'!H44)/1000</f>
        <v>0</v>
      </c>
      <c r="M44" s="86">
        <f>D44*SUMIFS('Lighting Power Density'!$E$3:$E$50,'Lighting Power Density'!$A$3:$A$50,'LED Lighting Estimator'!E44,'Lighting Power Density'!$B$3:$B$50,"LED",'Lighting Power Density'!$C$3:$C$50,'LED Lighting Estimator'!H44)/1000</f>
        <v>0</v>
      </c>
      <c r="N44" s="58">
        <f t="shared" si="2"/>
        <v>0</v>
      </c>
      <c r="O44" s="58">
        <f>IFERROR(I44*365.25*M44*J44/7,0)*(1-IF(K44="Yes",SUMIFS('Control Benefit'!$C$12:$C$29,'Control Benefit'!$A$12:$A$29,'LED Lighting Estimator'!$D$5,'Control Benefit'!$B$12:$B$29,'LED Lighting Estimator'!$F44),0))</f>
        <v>0</v>
      </c>
      <c r="P44" s="86" t="str">
        <f>IFERROR((I44*365.25)/SUMIFS('Lighting Power Density'!$F$3:$F$50,'Lighting Power Density'!$A$3:$A$50,'LED Lighting Estimator'!$E44,'Lighting Power Density'!$B$3:$B$50,'LED Lighting Estimator'!$G44,'Lighting Power Density'!$C$3:$C$50,'LED Lighting Estimator'!$H44),"-")</f>
        <v>-</v>
      </c>
      <c r="Q44" s="86" t="str">
        <f>IFERROR((I44*365.25)/SUMIFS('Lighting Power Density'!$F$3:$F$50,'Lighting Power Density'!$A$3:$A$50,'LED Lighting Estimator'!$E44,'Lighting Power Density'!$B$3:$B$50,"LED",'Lighting Power Density'!$C$3:$C$50,'LED Lighting Estimator'!$H44),"-")</f>
        <v>-</v>
      </c>
      <c r="R44" s="59">
        <f t="shared" si="3"/>
        <v>0</v>
      </c>
      <c r="S44" s="59">
        <f t="shared" si="8"/>
        <v>0</v>
      </c>
      <c r="T44" s="59">
        <f>M44*IFERROR(SUMIFS('LED Costs'!$C$4:$C$22,'LED Costs'!$A$4:$A$22,'LED Lighting Estimator'!$D$5,'LED Costs'!$B$4:$B$22,'LED Lighting Estimator'!$F44)*1000,0)-IF($K44="No",$D44*SUMIFS('Control Benefit'!$E$12:$E$29,'Control Benefit'!$A$12:$A$29,'LED Lighting Estimator'!$D$5,'Control Benefit'!$B$12:$B$29,'LED Lighting Estimator'!$F44),0)</f>
        <v>0</v>
      </c>
      <c r="U44" s="59">
        <f t="shared" si="4"/>
        <v>0</v>
      </c>
      <c r="V44" s="59">
        <f>IFERROR(D44*P44*(SUMIFS('Other Costs'!$F$2:$F$19,'Other Costs'!$A$2:$A$19,'LED Lighting Estimator'!G44,'Other Costs'!$C$2:$C$19,'LED Lighting Estimator'!H44)+$D$9),0)</f>
        <v>0</v>
      </c>
      <c r="W44" s="60">
        <f>IFERROR(D44*Q44*(M44*SUMIFS('LED Costs'!$C$4:$C$22,'LED Costs'!$A$4:$A$22,$D$5,'LED Costs'!$B$4:$B$22,'LED Lighting Estimator'!$F44)/1000+'LED Lighting Estimator'!$D$9),0)</f>
        <v>0</v>
      </c>
      <c r="X44" s="61">
        <f t="shared" si="5"/>
        <v>0</v>
      </c>
      <c r="Y44" s="61">
        <f>IFERROR(($N44-$O44)*'Emission factors'!$D$4,0)</f>
        <v>0</v>
      </c>
      <c r="AA44" s="84"/>
      <c r="AB44" s="84"/>
      <c r="AC44" s="68" t="str">
        <f>IFERROR(D44*INDEX('BEES Data'!$B$6:$AL$9,MATCH('LED Lighting Estimator'!AB44,'BEES Data'!$A$6:$A$9,0),MATCH('LED Lighting Estimator'!AA44,'BEES Data'!$B$5:$AL$5,0)),"-")</f>
        <v>-</v>
      </c>
      <c r="AD44" s="68">
        <f>IFERROR(AC44*INDEX('BEES Data'!$B$14:$AL$14,1,MATCH('LED Lighting Estimator'!AA44,'BEES Data'!$B$5:$AL$5,0)),0)</f>
        <v>0</v>
      </c>
      <c r="AE44" s="69">
        <f t="shared" si="6"/>
        <v>0</v>
      </c>
      <c r="AF44" s="69">
        <f>IFERROR(AD44*INDEX('BEES Data'!$B$15:$AL$15,1,MATCH('LED Lighting Estimator'!AA44,'BEES Data'!$B$5:$AL$5)),0)</f>
        <v>0</v>
      </c>
      <c r="AG44" s="93">
        <f t="shared" si="9"/>
        <v>0</v>
      </c>
    </row>
    <row r="45" spans="2:33" x14ac:dyDescent="0.3">
      <c r="B45" s="84"/>
      <c r="C45" s="31"/>
      <c r="D45" s="85"/>
      <c r="E45" s="31"/>
      <c r="F45" s="31"/>
      <c r="G45" s="31"/>
      <c r="H45" s="31"/>
      <c r="I45" s="31"/>
      <c r="J45" s="31"/>
      <c r="K45" s="31"/>
      <c r="L45" s="86">
        <f>D45*SUMIFS('Lighting Power Density'!$E$3:$E$50,'Lighting Power Density'!$A$3:$A$50,'LED Lighting Estimator'!E45,'Lighting Power Density'!$B$3:$B$50,'LED Lighting Estimator'!G45,'Lighting Power Density'!$C$3:$C$50,'LED Lighting Estimator'!H45)/1000</f>
        <v>0</v>
      </c>
      <c r="M45" s="86">
        <f>D45*SUMIFS('Lighting Power Density'!$E$3:$E$50,'Lighting Power Density'!$A$3:$A$50,'LED Lighting Estimator'!E45,'Lighting Power Density'!$B$3:$B$50,"LED",'Lighting Power Density'!$C$3:$C$50,'LED Lighting Estimator'!H45)/1000</f>
        <v>0</v>
      </c>
      <c r="N45" s="58">
        <f t="shared" si="2"/>
        <v>0</v>
      </c>
      <c r="O45" s="58">
        <f>IFERROR(I45*365.25*M45*J45/7,0)*(1-IF(K45="Yes",SUMIFS('Control Benefit'!$C$12:$C$29,'Control Benefit'!$A$12:$A$29,'LED Lighting Estimator'!$D$5,'Control Benefit'!$B$12:$B$29,'LED Lighting Estimator'!$F45),0))</f>
        <v>0</v>
      </c>
      <c r="P45" s="86" t="str">
        <f>IFERROR((I45*365.25)/SUMIFS('Lighting Power Density'!$F$3:$F$50,'Lighting Power Density'!$A$3:$A$50,'LED Lighting Estimator'!$E45,'Lighting Power Density'!$B$3:$B$50,'LED Lighting Estimator'!$G45,'Lighting Power Density'!$C$3:$C$50,'LED Lighting Estimator'!$H45),"-")</f>
        <v>-</v>
      </c>
      <c r="Q45" s="86" t="str">
        <f>IFERROR((I45*365.25)/SUMIFS('Lighting Power Density'!$F$3:$F$50,'Lighting Power Density'!$A$3:$A$50,'LED Lighting Estimator'!$E45,'Lighting Power Density'!$B$3:$B$50,"LED",'Lighting Power Density'!$C$3:$C$50,'LED Lighting Estimator'!$H45),"-")</f>
        <v>-</v>
      </c>
      <c r="R45" s="59">
        <f t="shared" si="3"/>
        <v>0</v>
      </c>
      <c r="S45" s="59">
        <f t="shared" si="8"/>
        <v>0</v>
      </c>
      <c r="T45" s="59">
        <f>M45*IFERROR(SUMIFS('LED Costs'!$C$4:$C$22,'LED Costs'!$A$4:$A$22,'LED Lighting Estimator'!$D$5,'LED Costs'!$B$4:$B$22,'LED Lighting Estimator'!$F45)*1000,0)-IF($K45="No",$D45*SUMIFS('Control Benefit'!$E$12:$E$29,'Control Benefit'!$A$12:$A$29,'LED Lighting Estimator'!$D$5,'Control Benefit'!$B$12:$B$29,'LED Lighting Estimator'!$F45),0)</f>
        <v>0</v>
      </c>
      <c r="U45" s="59">
        <f t="shared" si="4"/>
        <v>0</v>
      </c>
      <c r="V45" s="59">
        <f>IFERROR(D45*P45*(SUMIFS('Other Costs'!$F$2:$F$19,'Other Costs'!$A$2:$A$19,'LED Lighting Estimator'!G45,'Other Costs'!$C$2:$C$19,'LED Lighting Estimator'!H45)+$D$9),0)</f>
        <v>0</v>
      </c>
      <c r="W45" s="60">
        <f>IFERROR(D45*Q45*(M45*SUMIFS('LED Costs'!$C$4:$C$22,'LED Costs'!$A$4:$A$22,$D$5,'LED Costs'!$B$4:$B$22,'LED Lighting Estimator'!$F45)/1000+'LED Lighting Estimator'!$D$9),0)</f>
        <v>0</v>
      </c>
      <c r="X45" s="61">
        <f t="shared" si="5"/>
        <v>0</v>
      </c>
      <c r="Y45" s="61">
        <f>IFERROR(($N45-$O45)*'Emission factors'!$D$4,0)</f>
        <v>0</v>
      </c>
      <c r="AA45" s="84"/>
      <c r="AB45" s="84"/>
      <c r="AC45" s="68" t="str">
        <f>IFERROR(D45*INDEX('BEES Data'!$B$6:$AL$9,MATCH('LED Lighting Estimator'!AB45,'BEES Data'!$A$6:$A$9,0),MATCH('LED Lighting Estimator'!AA45,'BEES Data'!$B$5:$AL$5,0)),"-")</f>
        <v>-</v>
      </c>
      <c r="AD45" s="68">
        <f>IFERROR(AC45*INDEX('BEES Data'!$B$14:$AL$14,1,MATCH('LED Lighting Estimator'!AA45,'BEES Data'!$B$5:$AL$5,0)),0)</f>
        <v>0</v>
      </c>
      <c r="AE45" s="69">
        <f t="shared" si="6"/>
        <v>0</v>
      </c>
      <c r="AF45" s="69">
        <f>IFERROR(AD45*INDEX('BEES Data'!$B$15:$AL$15,1,MATCH('LED Lighting Estimator'!AA45,'BEES Data'!$B$5:$AL$5)),0)</f>
        <v>0</v>
      </c>
      <c r="AG45" s="93">
        <f t="shared" si="9"/>
        <v>0</v>
      </c>
    </row>
    <row r="46" spans="2:33" x14ac:dyDescent="0.3">
      <c r="B46" s="84"/>
      <c r="C46" s="31"/>
      <c r="D46" s="85"/>
      <c r="E46" s="31"/>
      <c r="F46" s="31"/>
      <c r="G46" s="31"/>
      <c r="H46" s="31"/>
      <c r="I46" s="31"/>
      <c r="J46" s="31"/>
      <c r="K46" s="31"/>
      <c r="L46" s="86">
        <f>D46*SUMIFS('Lighting Power Density'!$E$3:$E$50,'Lighting Power Density'!$A$3:$A$50,'LED Lighting Estimator'!E46,'Lighting Power Density'!$B$3:$B$50,'LED Lighting Estimator'!G46,'Lighting Power Density'!$C$3:$C$50,'LED Lighting Estimator'!H46)/1000</f>
        <v>0</v>
      </c>
      <c r="M46" s="86">
        <f>D46*SUMIFS('Lighting Power Density'!$E$3:$E$50,'Lighting Power Density'!$A$3:$A$50,'LED Lighting Estimator'!E46,'Lighting Power Density'!$B$3:$B$50,"LED",'Lighting Power Density'!$C$3:$C$50,'LED Lighting Estimator'!H46)/1000</f>
        <v>0</v>
      </c>
      <c r="N46" s="58">
        <f t="shared" si="2"/>
        <v>0</v>
      </c>
      <c r="O46" s="58">
        <f>IFERROR(I46*365.25*M46*J46/7,0)*(1-IF(K46="Yes",SUMIFS('Control Benefit'!$C$12:$C$29,'Control Benefit'!$A$12:$A$29,'LED Lighting Estimator'!$D$5,'Control Benefit'!$B$12:$B$29,'LED Lighting Estimator'!$F46),0))</f>
        <v>0</v>
      </c>
      <c r="P46" s="86" t="str">
        <f>IFERROR((I46*365.25)/SUMIFS('Lighting Power Density'!$F$3:$F$50,'Lighting Power Density'!$A$3:$A$50,'LED Lighting Estimator'!$E46,'Lighting Power Density'!$B$3:$B$50,'LED Lighting Estimator'!$G46,'Lighting Power Density'!$C$3:$C$50,'LED Lighting Estimator'!$H46),"-")</f>
        <v>-</v>
      </c>
      <c r="Q46" s="86" t="str">
        <f>IFERROR((I46*365.25)/SUMIFS('Lighting Power Density'!$F$3:$F$50,'Lighting Power Density'!$A$3:$A$50,'LED Lighting Estimator'!$E46,'Lighting Power Density'!$B$3:$B$50,"LED",'Lighting Power Density'!$C$3:$C$50,'LED Lighting Estimator'!$H46),"-")</f>
        <v>-</v>
      </c>
      <c r="R46" s="59">
        <f t="shared" si="3"/>
        <v>0</v>
      </c>
      <c r="S46" s="59">
        <f t="shared" si="8"/>
        <v>0</v>
      </c>
      <c r="T46" s="59">
        <f>M46*IFERROR(SUMIFS('LED Costs'!$C$4:$C$22,'LED Costs'!$A$4:$A$22,'LED Lighting Estimator'!$D$5,'LED Costs'!$B$4:$B$22,'LED Lighting Estimator'!$F46)*1000,0)-IF($K46="No",$D46*SUMIFS('Control Benefit'!$E$12:$E$29,'Control Benefit'!$A$12:$A$29,'LED Lighting Estimator'!$D$5,'Control Benefit'!$B$12:$B$29,'LED Lighting Estimator'!$F46),0)</f>
        <v>0</v>
      </c>
      <c r="U46" s="59">
        <f t="shared" si="4"/>
        <v>0</v>
      </c>
      <c r="V46" s="59">
        <f>IFERROR(D46*P46*(SUMIFS('Other Costs'!$F$2:$F$19,'Other Costs'!$A$2:$A$19,'LED Lighting Estimator'!G46,'Other Costs'!$C$2:$C$19,'LED Lighting Estimator'!H46)+$D$9),0)</f>
        <v>0</v>
      </c>
      <c r="W46" s="60">
        <f>IFERROR(D46*Q46*(M46*SUMIFS('LED Costs'!$C$4:$C$22,'LED Costs'!$A$4:$A$22,$D$5,'LED Costs'!$B$4:$B$22,'LED Lighting Estimator'!$F46)/1000+'LED Lighting Estimator'!$D$9),0)</f>
        <v>0</v>
      </c>
      <c r="X46" s="61">
        <f t="shared" si="5"/>
        <v>0</v>
      </c>
      <c r="Y46" s="61">
        <f>IFERROR(($N46-$O46)*'Emission factors'!$D$4,0)</f>
        <v>0</v>
      </c>
      <c r="AA46" s="84"/>
      <c r="AB46" s="84"/>
      <c r="AC46" s="68" t="str">
        <f>IFERROR(D46*INDEX('BEES Data'!$B$6:$AL$9,MATCH('LED Lighting Estimator'!AB46,'BEES Data'!$A$6:$A$9,0),MATCH('LED Lighting Estimator'!AA46,'BEES Data'!$B$5:$AL$5,0)),"-")</f>
        <v>-</v>
      </c>
      <c r="AD46" s="68">
        <f>IFERROR(AC46*INDEX('BEES Data'!$B$14:$AL$14,1,MATCH('LED Lighting Estimator'!AA46,'BEES Data'!$B$5:$AL$5,0)),0)</f>
        <v>0</v>
      </c>
      <c r="AE46" s="69">
        <f t="shared" si="6"/>
        <v>0</v>
      </c>
      <c r="AF46" s="69">
        <f>IFERROR(AD46*INDEX('BEES Data'!$B$15:$AL$15,1,MATCH('LED Lighting Estimator'!AA46,'BEES Data'!$B$5:$AL$5)),0)</f>
        <v>0</v>
      </c>
      <c r="AG46" s="93">
        <f t="shared" si="9"/>
        <v>0</v>
      </c>
    </row>
    <row r="47" spans="2:33" x14ac:dyDescent="0.3">
      <c r="B47" s="84"/>
      <c r="C47" s="31"/>
      <c r="D47" s="85"/>
      <c r="E47" s="31"/>
      <c r="F47" s="31"/>
      <c r="G47" s="31"/>
      <c r="H47" s="31"/>
      <c r="I47" s="31"/>
      <c r="J47" s="31"/>
      <c r="K47" s="31"/>
      <c r="L47" s="86">
        <f>D47*SUMIFS('Lighting Power Density'!$E$3:$E$50,'Lighting Power Density'!$A$3:$A$50,'LED Lighting Estimator'!E47,'Lighting Power Density'!$B$3:$B$50,'LED Lighting Estimator'!G47,'Lighting Power Density'!$C$3:$C$50,'LED Lighting Estimator'!H47)/1000</f>
        <v>0</v>
      </c>
      <c r="M47" s="86">
        <f>D47*SUMIFS('Lighting Power Density'!$E$3:$E$50,'Lighting Power Density'!$A$3:$A$50,'LED Lighting Estimator'!E47,'Lighting Power Density'!$B$3:$B$50,"LED",'Lighting Power Density'!$C$3:$C$50,'LED Lighting Estimator'!H47)/1000</f>
        <v>0</v>
      </c>
      <c r="N47" s="58">
        <f t="shared" si="2"/>
        <v>0</v>
      </c>
      <c r="O47" s="58">
        <f>IFERROR(I47*365.25*M47*J47/7,0)*(1-IF(K47="Yes",SUMIFS('Control Benefit'!$C$12:$C$29,'Control Benefit'!$A$12:$A$29,'LED Lighting Estimator'!$D$5,'Control Benefit'!$B$12:$B$29,'LED Lighting Estimator'!$F47),0))</f>
        <v>0</v>
      </c>
      <c r="P47" s="86" t="str">
        <f>IFERROR((I47*365.25)/SUMIFS('Lighting Power Density'!$F$3:$F$50,'Lighting Power Density'!$A$3:$A$50,'LED Lighting Estimator'!$E47,'Lighting Power Density'!$B$3:$B$50,'LED Lighting Estimator'!$G47,'Lighting Power Density'!$C$3:$C$50,'LED Lighting Estimator'!$H47),"-")</f>
        <v>-</v>
      </c>
      <c r="Q47" s="86" t="str">
        <f>IFERROR((I47*365.25)/SUMIFS('Lighting Power Density'!$F$3:$F$50,'Lighting Power Density'!$A$3:$A$50,'LED Lighting Estimator'!$E47,'Lighting Power Density'!$B$3:$B$50,"LED",'Lighting Power Density'!$C$3:$C$50,'LED Lighting Estimator'!$H47),"-")</f>
        <v>-</v>
      </c>
      <c r="R47" s="59">
        <f t="shared" si="3"/>
        <v>0</v>
      </c>
      <c r="S47" s="59">
        <f t="shared" si="8"/>
        <v>0</v>
      </c>
      <c r="T47" s="59">
        <f>M47*IFERROR(SUMIFS('LED Costs'!$C$4:$C$22,'LED Costs'!$A$4:$A$22,'LED Lighting Estimator'!$D$5,'LED Costs'!$B$4:$B$22,'LED Lighting Estimator'!$F47)*1000,0)-IF($K47="No",$D47*SUMIFS('Control Benefit'!$E$12:$E$29,'Control Benefit'!$A$12:$A$29,'LED Lighting Estimator'!$D$5,'Control Benefit'!$B$12:$B$29,'LED Lighting Estimator'!$F47),0)</f>
        <v>0</v>
      </c>
      <c r="U47" s="59">
        <f t="shared" si="4"/>
        <v>0</v>
      </c>
      <c r="V47" s="59">
        <f>IFERROR(D47*P47*(SUMIFS('Other Costs'!$F$2:$F$19,'Other Costs'!$A$2:$A$19,'LED Lighting Estimator'!G47,'Other Costs'!$C$2:$C$19,'LED Lighting Estimator'!H47)+$D$9),0)</f>
        <v>0</v>
      </c>
      <c r="W47" s="60">
        <f>IFERROR(D47*Q47*(M47*SUMIFS('LED Costs'!$C$4:$C$22,'LED Costs'!$A$4:$A$22,$D$5,'LED Costs'!$B$4:$B$22,'LED Lighting Estimator'!$F47)/1000+'LED Lighting Estimator'!$D$9),0)</f>
        <v>0</v>
      </c>
      <c r="X47" s="61">
        <f t="shared" si="5"/>
        <v>0</v>
      </c>
      <c r="Y47" s="61">
        <f>IFERROR(($N47-$O47)*'Emission factors'!$D$4,0)</f>
        <v>0</v>
      </c>
      <c r="AA47" s="84"/>
      <c r="AB47" s="84"/>
      <c r="AC47" s="68" t="str">
        <f>IFERROR(D47*INDEX('BEES Data'!$B$6:$AL$9,MATCH('LED Lighting Estimator'!AB47,'BEES Data'!$A$6:$A$9,0),MATCH('LED Lighting Estimator'!AA47,'BEES Data'!$B$5:$AL$5,0)),"-")</f>
        <v>-</v>
      </c>
      <c r="AD47" s="68">
        <f>IFERROR(AC47*INDEX('BEES Data'!$B$14:$AL$14,1,MATCH('LED Lighting Estimator'!AA47,'BEES Data'!$B$5:$AL$5,0)),0)</f>
        <v>0</v>
      </c>
      <c r="AE47" s="69">
        <f t="shared" si="6"/>
        <v>0</v>
      </c>
      <c r="AF47" s="69">
        <f>IFERROR(AD47*INDEX('BEES Data'!$B$15:$AL$15,1,MATCH('LED Lighting Estimator'!AA47,'BEES Data'!$B$5:$AL$5)),0)</f>
        <v>0</v>
      </c>
      <c r="AG47" s="93">
        <f t="shared" si="9"/>
        <v>0</v>
      </c>
    </row>
    <row r="48" spans="2:33" x14ac:dyDescent="0.3">
      <c r="B48" s="84"/>
      <c r="C48" s="31"/>
      <c r="D48" s="85"/>
      <c r="E48" s="31"/>
      <c r="F48" s="31"/>
      <c r="G48" s="31"/>
      <c r="H48" s="31"/>
      <c r="I48" s="31"/>
      <c r="J48" s="31"/>
      <c r="K48" s="31"/>
      <c r="L48" s="86">
        <f>D48*SUMIFS('Lighting Power Density'!$E$3:$E$50,'Lighting Power Density'!$A$3:$A$50,'LED Lighting Estimator'!E48,'Lighting Power Density'!$B$3:$B$50,'LED Lighting Estimator'!G48,'Lighting Power Density'!$C$3:$C$50,'LED Lighting Estimator'!H48)/1000</f>
        <v>0</v>
      </c>
      <c r="M48" s="86">
        <f>D48*SUMIFS('Lighting Power Density'!$E$3:$E$50,'Lighting Power Density'!$A$3:$A$50,'LED Lighting Estimator'!E48,'Lighting Power Density'!$B$3:$B$50,"LED",'Lighting Power Density'!$C$3:$C$50,'LED Lighting Estimator'!H48)/1000</f>
        <v>0</v>
      </c>
      <c r="N48" s="58">
        <f t="shared" si="2"/>
        <v>0</v>
      </c>
      <c r="O48" s="58">
        <f>IFERROR(I48*365.25*M48*J48/7,0)*(1-IF(K48="Yes",SUMIFS('Control Benefit'!$C$12:$C$29,'Control Benefit'!$A$12:$A$29,'LED Lighting Estimator'!$D$5,'Control Benefit'!$B$12:$B$29,'LED Lighting Estimator'!$F48),0))</f>
        <v>0</v>
      </c>
      <c r="P48" s="86" t="str">
        <f>IFERROR((I48*365.25)/SUMIFS('Lighting Power Density'!$F$3:$F$50,'Lighting Power Density'!$A$3:$A$50,'LED Lighting Estimator'!$E48,'Lighting Power Density'!$B$3:$B$50,'LED Lighting Estimator'!$G48,'Lighting Power Density'!$C$3:$C$50,'LED Lighting Estimator'!$H48),"-")</f>
        <v>-</v>
      </c>
      <c r="Q48" s="86" t="str">
        <f>IFERROR((I48*365.25)/SUMIFS('Lighting Power Density'!$F$3:$F$50,'Lighting Power Density'!$A$3:$A$50,'LED Lighting Estimator'!$E48,'Lighting Power Density'!$B$3:$B$50,"LED",'Lighting Power Density'!$C$3:$C$50,'LED Lighting Estimator'!$H48),"-")</f>
        <v>-</v>
      </c>
      <c r="R48" s="59">
        <f t="shared" si="3"/>
        <v>0</v>
      </c>
      <c r="S48" s="59">
        <f t="shared" si="8"/>
        <v>0</v>
      </c>
      <c r="T48" s="59">
        <f>M48*IFERROR(SUMIFS('LED Costs'!$C$4:$C$22,'LED Costs'!$A$4:$A$22,'LED Lighting Estimator'!$D$5,'LED Costs'!$B$4:$B$22,'LED Lighting Estimator'!$F48)*1000,0)-IF($K48="No",$D48*SUMIFS('Control Benefit'!$E$12:$E$29,'Control Benefit'!$A$12:$A$29,'LED Lighting Estimator'!$D$5,'Control Benefit'!$B$12:$B$29,'LED Lighting Estimator'!$F48),0)</f>
        <v>0</v>
      </c>
      <c r="U48" s="59">
        <f t="shared" si="4"/>
        <v>0</v>
      </c>
      <c r="V48" s="59">
        <f>IFERROR(D48*P48*(SUMIFS('Other Costs'!$F$2:$F$19,'Other Costs'!$A$2:$A$19,'LED Lighting Estimator'!G48,'Other Costs'!$C$2:$C$19,'LED Lighting Estimator'!H48)+$D$9),0)</f>
        <v>0</v>
      </c>
      <c r="W48" s="60">
        <f>IFERROR(D48*Q48*(M48*SUMIFS('LED Costs'!$C$4:$C$22,'LED Costs'!$A$4:$A$22,$D$5,'LED Costs'!$B$4:$B$22,'LED Lighting Estimator'!$F48)/1000+'LED Lighting Estimator'!$D$9),0)</f>
        <v>0</v>
      </c>
      <c r="X48" s="61">
        <f t="shared" si="5"/>
        <v>0</v>
      </c>
      <c r="Y48" s="61">
        <f>IFERROR(($N48-$O48)*'Emission factors'!$D$4,0)</f>
        <v>0</v>
      </c>
      <c r="AA48" s="84"/>
      <c r="AB48" s="84"/>
      <c r="AC48" s="68" t="str">
        <f>IFERROR(D48*INDEX('BEES Data'!$B$6:$AL$9,MATCH('LED Lighting Estimator'!AB48,'BEES Data'!$A$6:$A$9,0),MATCH('LED Lighting Estimator'!AA48,'BEES Data'!$B$5:$AL$5,0)),"-")</f>
        <v>-</v>
      </c>
      <c r="AD48" s="68">
        <f>IFERROR(AC48*INDEX('BEES Data'!$B$14:$AL$14,1,MATCH('LED Lighting Estimator'!AA48,'BEES Data'!$B$5:$AL$5,0)),0)</f>
        <v>0</v>
      </c>
      <c r="AE48" s="69">
        <f t="shared" si="6"/>
        <v>0</v>
      </c>
      <c r="AF48" s="69">
        <f>IFERROR(AD48*INDEX('BEES Data'!$B$15:$AL$15,1,MATCH('LED Lighting Estimator'!AA48,'BEES Data'!$B$5:$AL$5)),0)</f>
        <v>0</v>
      </c>
      <c r="AG48" s="93">
        <f t="shared" si="9"/>
        <v>0</v>
      </c>
    </row>
    <row r="49" spans="2:33" x14ac:dyDescent="0.3">
      <c r="B49" s="84"/>
      <c r="C49" s="31"/>
      <c r="D49" s="85"/>
      <c r="E49" s="31"/>
      <c r="F49" s="31"/>
      <c r="G49" s="31"/>
      <c r="H49" s="31"/>
      <c r="I49" s="31"/>
      <c r="J49" s="31"/>
      <c r="K49" s="31"/>
      <c r="L49" s="86">
        <f>D49*SUMIFS('Lighting Power Density'!$E$3:$E$50,'Lighting Power Density'!$A$3:$A$50,'LED Lighting Estimator'!E49,'Lighting Power Density'!$B$3:$B$50,'LED Lighting Estimator'!G49,'Lighting Power Density'!$C$3:$C$50,'LED Lighting Estimator'!H49)/1000</f>
        <v>0</v>
      </c>
      <c r="M49" s="86">
        <f>D49*SUMIFS('Lighting Power Density'!$E$3:$E$50,'Lighting Power Density'!$A$3:$A$50,'LED Lighting Estimator'!E49,'Lighting Power Density'!$B$3:$B$50,"LED",'Lighting Power Density'!$C$3:$C$50,'LED Lighting Estimator'!H49)/1000</f>
        <v>0</v>
      </c>
      <c r="N49" s="58">
        <f t="shared" si="2"/>
        <v>0</v>
      </c>
      <c r="O49" s="58">
        <f>IFERROR(I49*365.25*M49*J49/7,0)*(1-IF(K49="Yes",SUMIFS('Control Benefit'!$C$12:$C$29,'Control Benefit'!$A$12:$A$29,'LED Lighting Estimator'!$D$5,'Control Benefit'!$B$12:$B$29,'LED Lighting Estimator'!$F49),0))</f>
        <v>0</v>
      </c>
      <c r="P49" s="86" t="str">
        <f>IFERROR((I49*365.25)/SUMIFS('Lighting Power Density'!$F$3:$F$50,'Lighting Power Density'!$A$3:$A$50,'LED Lighting Estimator'!$E49,'Lighting Power Density'!$B$3:$B$50,'LED Lighting Estimator'!$G49,'Lighting Power Density'!$C$3:$C$50,'LED Lighting Estimator'!$H49),"-")</f>
        <v>-</v>
      </c>
      <c r="Q49" s="86" t="str">
        <f>IFERROR((I49*365.25)/SUMIFS('Lighting Power Density'!$F$3:$F$50,'Lighting Power Density'!$A$3:$A$50,'LED Lighting Estimator'!$E49,'Lighting Power Density'!$B$3:$B$50,"LED",'Lighting Power Density'!$C$3:$C$50,'LED Lighting Estimator'!$H49),"-")</f>
        <v>-</v>
      </c>
      <c r="R49" s="59">
        <f t="shared" si="3"/>
        <v>0</v>
      </c>
      <c r="S49" s="59">
        <f t="shared" si="8"/>
        <v>0</v>
      </c>
      <c r="T49" s="59">
        <f>M49*IFERROR(SUMIFS('LED Costs'!$C$4:$C$22,'LED Costs'!$A$4:$A$22,'LED Lighting Estimator'!$D$5,'LED Costs'!$B$4:$B$22,'LED Lighting Estimator'!$F49)*1000,0)-IF($K49="No",$D49*SUMIFS('Control Benefit'!$E$12:$E$29,'Control Benefit'!$A$12:$A$29,'LED Lighting Estimator'!$D$5,'Control Benefit'!$B$12:$B$29,'LED Lighting Estimator'!$F49),0)</f>
        <v>0</v>
      </c>
      <c r="U49" s="59">
        <f t="shared" si="4"/>
        <v>0</v>
      </c>
      <c r="V49" s="59">
        <f>IFERROR(D49*P49*(SUMIFS('Other Costs'!$F$2:$F$19,'Other Costs'!$A$2:$A$19,'LED Lighting Estimator'!G49,'Other Costs'!$C$2:$C$19,'LED Lighting Estimator'!H49)+$D$9),0)</f>
        <v>0</v>
      </c>
      <c r="W49" s="60">
        <f>IFERROR(D49*Q49*(M49*SUMIFS('LED Costs'!$C$4:$C$22,'LED Costs'!$A$4:$A$22,$D$5,'LED Costs'!$B$4:$B$22,'LED Lighting Estimator'!$F49)/1000+'LED Lighting Estimator'!$D$9),0)</f>
        <v>0</v>
      </c>
      <c r="X49" s="61">
        <f t="shared" si="5"/>
        <v>0</v>
      </c>
      <c r="Y49" s="61">
        <f>IFERROR(($N49-$O49)*'Emission factors'!$D$4,0)</f>
        <v>0</v>
      </c>
      <c r="AA49" s="84"/>
      <c r="AB49" s="84"/>
      <c r="AC49" s="68" t="str">
        <f>IFERROR(D49*INDEX('BEES Data'!$B$6:$AL$9,MATCH('LED Lighting Estimator'!AB49,'BEES Data'!$A$6:$A$9,0),MATCH('LED Lighting Estimator'!AA49,'BEES Data'!$B$5:$AL$5,0)),"-")</f>
        <v>-</v>
      </c>
      <c r="AD49" s="68">
        <f>IFERROR(AC49*INDEX('BEES Data'!$B$14:$AL$14,1,MATCH('LED Lighting Estimator'!AA49,'BEES Data'!$B$5:$AL$5,0)),0)</f>
        <v>0</v>
      </c>
      <c r="AE49" s="69">
        <f t="shared" si="6"/>
        <v>0</v>
      </c>
      <c r="AF49" s="69">
        <f>IFERROR(AD49*INDEX('BEES Data'!$B$15:$AL$15,1,MATCH('LED Lighting Estimator'!AA49,'BEES Data'!$B$5:$AL$5)),0)</f>
        <v>0</v>
      </c>
      <c r="AG49" s="93">
        <f t="shared" si="9"/>
        <v>0</v>
      </c>
    </row>
    <row r="50" spans="2:33" x14ac:dyDescent="0.3">
      <c r="B50" s="84"/>
      <c r="C50" s="31"/>
      <c r="D50" s="85"/>
      <c r="E50" s="31"/>
      <c r="F50" s="31"/>
      <c r="G50" s="31"/>
      <c r="H50" s="31"/>
      <c r="I50" s="31"/>
      <c r="J50" s="31"/>
      <c r="K50" s="31"/>
      <c r="L50" s="86">
        <f>D50*SUMIFS('Lighting Power Density'!$E$3:$E$50,'Lighting Power Density'!$A$3:$A$50,'LED Lighting Estimator'!E50,'Lighting Power Density'!$B$3:$B$50,'LED Lighting Estimator'!G50,'Lighting Power Density'!$C$3:$C$50,'LED Lighting Estimator'!H50)/1000</f>
        <v>0</v>
      </c>
      <c r="M50" s="86">
        <f>D50*SUMIFS('Lighting Power Density'!$E$3:$E$50,'Lighting Power Density'!$A$3:$A$50,'LED Lighting Estimator'!E50,'Lighting Power Density'!$B$3:$B$50,"LED",'Lighting Power Density'!$C$3:$C$50,'LED Lighting Estimator'!H50)/1000</f>
        <v>0</v>
      </c>
      <c r="N50" s="58">
        <f t="shared" si="2"/>
        <v>0</v>
      </c>
      <c r="O50" s="58">
        <f>IFERROR(I50*365.25*M50*J50/7,0)*(1-IF(K50="Yes",SUMIFS('Control Benefit'!$C$12:$C$29,'Control Benefit'!$A$12:$A$29,'LED Lighting Estimator'!$D$5,'Control Benefit'!$B$12:$B$29,'LED Lighting Estimator'!$F50),0))</f>
        <v>0</v>
      </c>
      <c r="P50" s="86" t="str">
        <f>IFERROR((I50*365.25)/SUMIFS('Lighting Power Density'!$F$3:$F$50,'Lighting Power Density'!$A$3:$A$50,'LED Lighting Estimator'!$E50,'Lighting Power Density'!$B$3:$B$50,'LED Lighting Estimator'!$G50,'Lighting Power Density'!$C$3:$C$50,'LED Lighting Estimator'!$H50),"-")</f>
        <v>-</v>
      </c>
      <c r="Q50" s="86" t="str">
        <f>IFERROR((I50*365.25)/SUMIFS('Lighting Power Density'!$F$3:$F$50,'Lighting Power Density'!$A$3:$A$50,'LED Lighting Estimator'!$E50,'Lighting Power Density'!$B$3:$B$50,"LED",'Lighting Power Density'!$C$3:$C$50,'LED Lighting Estimator'!$H50),"-")</f>
        <v>-</v>
      </c>
      <c r="R50" s="59">
        <f t="shared" si="3"/>
        <v>0</v>
      </c>
      <c r="S50" s="59">
        <f t="shared" si="8"/>
        <v>0</v>
      </c>
      <c r="T50" s="59">
        <f>M50*IFERROR(SUMIFS('LED Costs'!$C$4:$C$22,'LED Costs'!$A$4:$A$22,'LED Lighting Estimator'!$D$5,'LED Costs'!$B$4:$B$22,'LED Lighting Estimator'!$F50)*1000,0)-IF($K50="No",$D50*SUMIFS('Control Benefit'!$E$12:$E$29,'Control Benefit'!$A$12:$A$29,'LED Lighting Estimator'!$D$5,'Control Benefit'!$B$12:$B$29,'LED Lighting Estimator'!$F50),0)</f>
        <v>0</v>
      </c>
      <c r="U50" s="59">
        <f t="shared" si="4"/>
        <v>0</v>
      </c>
      <c r="V50" s="59">
        <f>IFERROR(D50*P50*(SUMIFS('Other Costs'!$F$2:$F$19,'Other Costs'!$A$2:$A$19,'LED Lighting Estimator'!G50,'Other Costs'!$C$2:$C$19,'LED Lighting Estimator'!H50)+$D$9),0)</f>
        <v>0</v>
      </c>
      <c r="W50" s="60">
        <f>IFERROR(D50*Q50*(M50*SUMIFS('LED Costs'!$C$4:$C$22,'LED Costs'!$A$4:$A$22,$D$5,'LED Costs'!$B$4:$B$22,'LED Lighting Estimator'!$F50)/1000+'LED Lighting Estimator'!$D$9),0)</f>
        <v>0</v>
      </c>
      <c r="X50" s="61">
        <f t="shared" si="5"/>
        <v>0</v>
      </c>
      <c r="Y50" s="61">
        <f>IFERROR(($N50-$O50)*'Emission factors'!$D$4,0)</f>
        <v>0</v>
      </c>
      <c r="AA50" s="84"/>
      <c r="AB50" s="84"/>
      <c r="AC50" s="68" t="str">
        <f>IFERROR(D50*INDEX('BEES Data'!$B$6:$AL$9,MATCH('LED Lighting Estimator'!AB50,'BEES Data'!$A$6:$A$9,0),MATCH('LED Lighting Estimator'!AA50,'BEES Data'!$B$5:$AL$5,0)),"-")</f>
        <v>-</v>
      </c>
      <c r="AD50" s="68">
        <f>IFERROR(AC50*INDEX('BEES Data'!$B$14:$AL$14,1,MATCH('LED Lighting Estimator'!AA50,'BEES Data'!$B$5:$AL$5,0)),0)</f>
        <v>0</v>
      </c>
      <c r="AE50" s="69">
        <f t="shared" si="6"/>
        <v>0</v>
      </c>
      <c r="AF50" s="69">
        <f>IFERROR(AD50*INDEX('BEES Data'!$B$15:$AL$15,1,MATCH('LED Lighting Estimator'!AA50,'BEES Data'!$B$5:$AL$5)),0)</f>
        <v>0</v>
      </c>
      <c r="AG50" s="93">
        <f t="shared" si="9"/>
        <v>0</v>
      </c>
    </row>
    <row r="51" spans="2:33" x14ac:dyDescent="0.3">
      <c r="B51" s="84"/>
      <c r="C51" s="31"/>
      <c r="D51" s="85"/>
      <c r="E51" s="31"/>
      <c r="F51" s="31"/>
      <c r="G51" s="31"/>
      <c r="H51" s="31"/>
      <c r="I51" s="31"/>
      <c r="J51" s="31"/>
      <c r="K51" s="31"/>
      <c r="L51" s="86">
        <f>D51*SUMIFS('Lighting Power Density'!$E$3:$E$50,'Lighting Power Density'!$A$3:$A$50,'LED Lighting Estimator'!E51,'Lighting Power Density'!$B$3:$B$50,'LED Lighting Estimator'!G51,'Lighting Power Density'!$C$3:$C$50,'LED Lighting Estimator'!H51)/1000</f>
        <v>0</v>
      </c>
      <c r="M51" s="86">
        <f>D51*SUMIFS('Lighting Power Density'!$E$3:$E$50,'Lighting Power Density'!$A$3:$A$50,'LED Lighting Estimator'!E51,'Lighting Power Density'!$B$3:$B$50,"LED",'Lighting Power Density'!$C$3:$C$50,'LED Lighting Estimator'!H51)/1000</f>
        <v>0</v>
      </c>
      <c r="N51" s="58">
        <f t="shared" si="2"/>
        <v>0</v>
      </c>
      <c r="O51" s="58">
        <f>IFERROR(I51*365.25*M51*J51/7,0)*(1-IF(K51="Yes",SUMIFS('Control Benefit'!$C$12:$C$29,'Control Benefit'!$A$12:$A$29,'LED Lighting Estimator'!$D$5,'Control Benefit'!$B$12:$B$29,'LED Lighting Estimator'!$F51),0))</f>
        <v>0</v>
      </c>
      <c r="P51" s="86" t="str">
        <f>IFERROR((I51*365.25)/SUMIFS('Lighting Power Density'!$F$3:$F$50,'Lighting Power Density'!$A$3:$A$50,'LED Lighting Estimator'!$E51,'Lighting Power Density'!$B$3:$B$50,'LED Lighting Estimator'!$G51,'Lighting Power Density'!$C$3:$C$50,'LED Lighting Estimator'!$H51),"-")</f>
        <v>-</v>
      </c>
      <c r="Q51" s="86" t="str">
        <f>IFERROR((I51*365.25)/SUMIFS('Lighting Power Density'!$F$3:$F$50,'Lighting Power Density'!$A$3:$A$50,'LED Lighting Estimator'!$E51,'Lighting Power Density'!$B$3:$B$50,"LED",'Lighting Power Density'!$C$3:$C$50,'LED Lighting Estimator'!$H51),"-")</f>
        <v>-</v>
      </c>
      <c r="R51" s="59">
        <f t="shared" ref="R51:R82" si="10">N51*$D$8</f>
        <v>0</v>
      </c>
      <c r="S51" s="59">
        <f t="shared" ref="S51:S82" si="11">O51*$D$8</f>
        <v>0</v>
      </c>
      <c r="T51" s="59">
        <f>M51*IFERROR(SUMIFS('LED Costs'!$C$4:$C$22,'LED Costs'!$A$4:$A$22,'LED Lighting Estimator'!$D$5,'LED Costs'!$B$4:$B$22,'LED Lighting Estimator'!$F51)*1000,0)-IF($K51="No",$D51*SUMIFS('Control Benefit'!$E$12:$E$29,'Control Benefit'!$A$12:$A$29,'LED Lighting Estimator'!$D$5,'Control Benefit'!$B$12:$B$29,'LED Lighting Estimator'!$F51),0)</f>
        <v>0</v>
      </c>
      <c r="U51" s="59">
        <f t="shared" si="4"/>
        <v>0</v>
      </c>
      <c r="V51" s="59">
        <f>IFERROR(D51*P51*(SUMIFS('Other Costs'!$F$2:$F$19,'Other Costs'!$A$2:$A$19,'LED Lighting Estimator'!G51,'Other Costs'!$C$2:$C$19,'LED Lighting Estimator'!H51)+$D$9),0)</f>
        <v>0</v>
      </c>
      <c r="W51" s="60">
        <f>IFERROR(D51*Q51*(M51*SUMIFS('LED Costs'!$C$4:$C$22,'LED Costs'!$A$4:$A$22,$D$5,'LED Costs'!$B$4:$B$22,'LED Lighting Estimator'!$F51)/1000+'LED Lighting Estimator'!$D$9),0)</f>
        <v>0</v>
      </c>
      <c r="X51" s="61">
        <f t="shared" si="5"/>
        <v>0</v>
      </c>
      <c r="Y51" s="61">
        <f>IFERROR(($N51-$O51)*'Emission factors'!$D$4,0)</f>
        <v>0</v>
      </c>
      <c r="AA51" s="84"/>
      <c r="AB51" s="84"/>
      <c r="AC51" s="68" t="str">
        <f>IFERROR(D51*INDEX('BEES Data'!$B$6:$AL$9,MATCH('LED Lighting Estimator'!AB51,'BEES Data'!$A$6:$A$9,0),MATCH('LED Lighting Estimator'!AA51,'BEES Data'!$B$5:$AL$5,0)),"-")</f>
        <v>-</v>
      </c>
      <c r="AD51" s="68">
        <f>IFERROR(AC51*INDEX('BEES Data'!$B$14:$AL$14,1,MATCH('LED Lighting Estimator'!AA51,'BEES Data'!$B$5:$AL$5,0)),0)</f>
        <v>0</v>
      </c>
      <c r="AE51" s="69">
        <f t="shared" ref="AE51:AE82" si="12">AD51*$D$8</f>
        <v>0</v>
      </c>
      <c r="AF51" s="69">
        <f>IFERROR(AD51*INDEX('BEES Data'!$B$15:$AL$15,1,MATCH('LED Lighting Estimator'!AA51,'BEES Data'!$B$5:$AL$5)),0)</f>
        <v>0</v>
      </c>
      <c r="AG51" s="93">
        <f t="shared" si="9"/>
        <v>0</v>
      </c>
    </row>
    <row r="52" spans="2:33" x14ac:dyDescent="0.3">
      <c r="B52" s="84"/>
      <c r="C52" s="31"/>
      <c r="D52" s="85"/>
      <c r="E52" s="31"/>
      <c r="F52" s="31"/>
      <c r="G52" s="31"/>
      <c r="H52" s="31"/>
      <c r="I52" s="31"/>
      <c r="J52" s="31"/>
      <c r="K52" s="31"/>
      <c r="L52" s="86">
        <f>D52*SUMIFS('Lighting Power Density'!$E$3:$E$50,'Lighting Power Density'!$A$3:$A$50,'LED Lighting Estimator'!E52,'Lighting Power Density'!$B$3:$B$50,'LED Lighting Estimator'!G52,'Lighting Power Density'!$C$3:$C$50,'LED Lighting Estimator'!H52)/1000</f>
        <v>0</v>
      </c>
      <c r="M52" s="86">
        <f>D52*SUMIFS('Lighting Power Density'!$E$3:$E$50,'Lighting Power Density'!$A$3:$A$50,'LED Lighting Estimator'!E52,'Lighting Power Density'!$B$3:$B$50,"LED",'Lighting Power Density'!$C$3:$C$50,'LED Lighting Estimator'!H52)/1000</f>
        <v>0</v>
      </c>
      <c r="N52" s="58">
        <f t="shared" si="2"/>
        <v>0</v>
      </c>
      <c r="O52" s="58">
        <f>IFERROR(I52*365.25*M52*J52/7,0)*(1-IF(K52="Yes",SUMIFS('Control Benefit'!$C$12:$C$29,'Control Benefit'!$A$12:$A$29,'LED Lighting Estimator'!$D$5,'Control Benefit'!$B$12:$B$29,'LED Lighting Estimator'!$F52),0))</f>
        <v>0</v>
      </c>
      <c r="P52" s="86" t="str">
        <f>IFERROR((I52*365.25)/SUMIFS('Lighting Power Density'!$F$3:$F$50,'Lighting Power Density'!$A$3:$A$50,'LED Lighting Estimator'!$E52,'Lighting Power Density'!$B$3:$B$50,'LED Lighting Estimator'!$G52,'Lighting Power Density'!$C$3:$C$50,'LED Lighting Estimator'!$H52),"-")</f>
        <v>-</v>
      </c>
      <c r="Q52" s="86" t="str">
        <f>IFERROR((I52*365.25)/SUMIFS('Lighting Power Density'!$F$3:$F$50,'Lighting Power Density'!$A$3:$A$50,'LED Lighting Estimator'!$E52,'Lighting Power Density'!$B$3:$B$50,"LED",'Lighting Power Density'!$C$3:$C$50,'LED Lighting Estimator'!$H52),"-")</f>
        <v>-</v>
      </c>
      <c r="R52" s="59">
        <f t="shared" si="10"/>
        <v>0</v>
      </c>
      <c r="S52" s="59">
        <f t="shared" si="11"/>
        <v>0</v>
      </c>
      <c r="T52" s="59">
        <f>M52*IFERROR(SUMIFS('LED Costs'!$C$4:$C$22,'LED Costs'!$A$4:$A$22,'LED Lighting Estimator'!$D$5,'LED Costs'!$B$4:$B$22,'LED Lighting Estimator'!$F52)*1000,0)-IF($K52="No",$D52*SUMIFS('Control Benefit'!$E$12:$E$29,'Control Benefit'!$A$12:$A$29,'LED Lighting Estimator'!$D$5,'Control Benefit'!$B$12:$B$29,'LED Lighting Estimator'!$F52),0)</f>
        <v>0</v>
      </c>
      <c r="U52" s="59">
        <f t="shared" si="4"/>
        <v>0</v>
      </c>
      <c r="V52" s="59">
        <f>IFERROR(D52*P52*(SUMIFS('Other Costs'!$F$2:$F$19,'Other Costs'!$A$2:$A$19,'LED Lighting Estimator'!G52,'Other Costs'!$C$2:$C$19,'LED Lighting Estimator'!H52)+$D$9),0)</f>
        <v>0</v>
      </c>
      <c r="W52" s="60">
        <f>IFERROR(D52*Q52*(M52*SUMIFS('LED Costs'!$C$4:$C$22,'LED Costs'!$A$4:$A$22,$D$5,'LED Costs'!$B$4:$B$22,'LED Lighting Estimator'!$F52)/1000+'LED Lighting Estimator'!$D$9),0)</f>
        <v>0</v>
      </c>
      <c r="X52" s="61">
        <f t="shared" si="5"/>
        <v>0</v>
      </c>
      <c r="Y52" s="61">
        <f>IFERROR(($N52-$O52)*'Emission factors'!$D$4,0)</f>
        <v>0</v>
      </c>
      <c r="AA52" s="84"/>
      <c r="AB52" s="84"/>
      <c r="AC52" s="68" t="str">
        <f>IFERROR(D52*INDEX('BEES Data'!$B$6:$AL$9,MATCH('LED Lighting Estimator'!AB52,'BEES Data'!$A$6:$A$9,0),MATCH('LED Lighting Estimator'!AA52,'BEES Data'!$B$5:$AL$5,0)),"-")</f>
        <v>-</v>
      </c>
      <c r="AD52" s="68">
        <f>IFERROR(AC52*INDEX('BEES Data'!$B$14:$AL$14,1,MATCH('LED Lighting Estimator'!AA52,'BEES Data'!$B$5:$AL$5,0)),0)</f>
        <v>0</v>
      </c>
      <c r="AE52" s="69">
        <f t="shared" si="12"/>
        <v>0</v>
      </c>
      <c r="AF52" s="69">
        <f>IFERROR(AD52*INDEX('BEES Data'!$B$15:$AL$15,1,MATCH('LED Lighting Estimator'!AA52,'BEES Data'!$B$5:$AL$5)),0)</f>
        <v>0</v>
      </c>
      <c r="AG52" s="93">
        <f t="shared" si="9"/>
        <v>0</v>
      </c>
    </row>
    <row r="53" spans="2:33" x14ac:dyDescent="0.3">
      <c r="B53" s="84"/>
      <c r="C53" s="31"/>
      <c r="D53" s="85"/>
      <c r="E53" s="31"/>
      <c r="F53" s="31"/>
      <c r="G53" s="31"/>
      <c r="H53" s="31"/>
      <c r="I53" s="31"/>
      <c r="J53" s="31"/>
      <c r="K53" s="31"/>
      <c r="L53" s="86">
        <f>D53*SUMIFS('Lighting Power Density'!$E$3:$E$50,'Lighting Power Density'!$A$3:$A$50,'LED Lighting Estimator'!E53,'Lighting Power Density'!$B$3:$B$50,'LED Lighting Estimator'!G53,'Lighting Power Density'!$C$3:$C$50,'LED Lighting Estimator'!H53)/1000</f>
        <v>0</v>
      </c>
      <c r="M53" s="86">
        <f>D53*SUMIFS('Lighting Power Density'!$E$3:$E$50,'Lighting Power Density'!$A$3:$A$50,'LED Lighting Estimator'!E53,'Lighting Power Density'!$B$3:$B$50,"LED",'Lighting Power Density'!$C$3:$C$50,'LED Lighting Estimator'!H53)/1000</f>
        <v>0</v>
      </c>
      <c r="N53" s="58">
        <f t="shared" si="2"/>
        <v>0</v>
      </c>
      <c r="O53" s="58">
        <f>IFERROR(I53*365.25*M53*J53/7,0)*(1-IF(K53="Yes",SUMIFS('Control Benefit'!$C$12:$C$29,'Control Benefit'!$A$12:$A$29,'LED Lighting Estimator'!$D$5,'Control Benefit'!$B$12:$B$29,'LED Lighting Estimator'!$F53),0))</f>
        <v>0</v>
      </c>
      <c r="P53" s="86" t="str">
        <f>IFERROR((I53*365.25)/SUMIFS('Lighting Power Density'!$F$3:$F$50,'Lighting Power Density'!$A$3:$A$50,'LED Lighting Estimator'!$E53,'Lighting Power Density'!$B$3:$B$50,'LED Lighting Estimator'!$G53,'Lighting Power Density'!$C$3:$C$50,'LED Lighting Estimator'!$H53),"-")</f>
        <v>-</v>
      </c>
      <c r="Q53" s="86" t="str">
        <f>IFERROR((I53*365.25)/SUMIFS('Lighting Power Density'!$F$3:$F$50,'Lighting Power Density'!$A$3:$A$50,'LED Lighting Estimator'!$E53,'Lighting Power Density'!$B$3:$B$50,"LED",'Lighting Power Density'!$C$3:$C$50,'LED Lighting Estimator'!$H53),"-")</f>
        <v>-</v>
      </c>
      <c r="R53" s="59">
        <f t="shared" si="10"/>
        <v>0</v>
      </c>
      <c r="S53" s="59">
        <f t="shared" si="11"/>
        <v>0</v>
      </c>
      <c r="T53" s="59">
        <f>M53*IFERROR(SUMIFS('LED Costs'!$C$4:$C$22,'LED Costs'!$A$4:$A$22,'LED Lighting Estimator'!$D$5,'LED Costs'!$B$4:$B$22,'LED Lighting Estimator'!$F53)*1000,0)-IF($K53="No",$D53*SUMIFS('Control Benefit'!$E$12:$E$29,'Control Benefit'!$A$12:$A$29,'LED Lighting Estimator'!$D$5,'Control Benefit'!$B$12:$B$29,'LED Lighting Estimator'!$F53),0)</f>
        <v>0</v>
      </c>
      <c r="U53" s="59">
        <f t="shared" si="4"/>
        <v>0</v>
      </c>
      <c r="V53" s="59">
        <f>IFERROR(D53*P53*(SUMIFS('Other Costs'!$F$2:$F$19,'Other Costs'!$A$2:$A$19,'LED Lighting Estimator'!G53,'Other Costs'!$C$2:$C$19,'LED Lighting Estimator'!H53)+$D$9),0)</f>
        <v>0</v>
      </c>
      <c r="W53" s="60">
        <f>IFERROR(D53*Q53*(M53*SUMIFS('LED Costs'!$C$4:$C$22,'LED Costs'!$A$4:$A$22,$D$5,'LED Costs'!$B$4:$B$22,'LED Lighting Estimator'!$F53)/1000+'LED Lighting Estimator'!$D$9),0)</f>
        <v>0</v>
      </c>
      <c r="X53" s="61">
        <f t="shared" si="5"/>
        <v>0</v>
      </c>
      <c r="Y53" s="61">
        <f>IFERROR(($N53-$O53)*'Emission factors'!$D$4,0)</f>
        <v>0</v>
      </c>
      <c r="AA53" s="84"/>
      <c r="AB53" s="84"/>
      <c r="AC53" s="68" t="str">
        <f>IFERROR(D53*INDEX('BEES Data'!$B$6:$AL$9,MATCH('LED Lighting Estimator'!AB53,'BEES Data'!$A$6:$A$9,0),MATCH('LED Lighting Estimator'!AA53,'BEES Data'!$B$5:$AL$5,0)),"-")</f>
        <v>-</v>
      </c>
      <c r="AD53" s="68">
        <f>IFERROR(AC53*INDEX('BEES Data'!$B$14:$AL$14,1,MATCH('LED Lighting Estimator'!AA53,'BEES Data'!$B$5:$AL$5,0)),0)</f>
        <v>0</v>
      </c>
      <c r="AE53" s="69">
        <f t="shared" si="12"/>
        <v>0</v>
      </c>
      <c r="AF53" s="69">
        <f>IFERROR(AD53*INDEX('BEES Data'!$B$15:$AL$15,1,MATCH('LED Lighting Estimator'!AA53,'BEES Data'!$B$5:$AL$5)),0)</f>
        <v>0</v>
      </c>
      <c r="AG53" s="93">
        <f t="shared" si="9"/>
        <v>0</v>
      </c>
    </row>
    <row r="54" spans="2:33" x14ac:dyDescent="0.3">
      <c r="B54" s="84"/>
      <c r="C54" s="31"/>
      <c r="D54" s="85"/>
      <c r="E54" s="31"/>
      <c r="F54" s="31"/>
      <c r="G54" s="31"/>
      <c r="H54" s="31"/>
      <c r="I54" s="31"/>
      <c r="J54" s="31"/>
      <c r="K54" s="31"/>
      <c r="L54" s="86">
        <f>D54*SUMIFS('Lighting Power Density'!$E$3:$E$50,'Lighting Power Density'!$A$3:$A$50,'LED Lighting Estimator'!E54,'Lighting Power Density'!$B$3:$B$50,'LED Lighting Estimator'!G54,'Lighting Power Density'!$C$3:$C$50,'LED Lighting Estimator'!H54)/1000</f>
        <v>0</v>
      </c>
      <c r="M54" s="86">
        <f>D54*SUMIFS('Lighting Power Density'!$E$3:$E$50,'Lighting Power Density'!$A$3:$A$50,'LED Lighting Estimator'!E54,'Lighting Power Density'!$B$3:$B$50,"LED",'Lighting Power Density'!$C$3:$C$50,'LED Lighting Estimator'!H54)/1000</f>
        <v>0</v>
      </c>
      <c r="N54" s="58">
        <f t="shared" si="2"/>
        <v>0</v>
      </c>
      <c r="O54" s="58">
        <f>IFERROR(I54*365.25*M54*J54/7,0)*(1-IF(K54="Yes",SUMIFS('Control Benefit'!$C$12:$C$29,'Control Benefit'!$A$12:$A$29,'LED Lighting Estimator'!$D$5,'Control Benefit'!$B$12:$B$29,'LED Lighting Estimator'!$F54),0))</f>
        <v>0</v>
      </c>
      <c r="P54" s="86" t="str">
        <f>IFERROR((I54*365.25)/SUMIFS('Lighting Power Density'!$F$3:$F$50,'Lighting Power Density'!$A$3:$A$50,'LED Lighting Estimator'!$E54,'Lighting Power Density'!$B$3:$B$50,'LED Lighting Estimator'!$G54,'Lighting Power Density'!$C$3:$C$50,'LED Lighting Estimator'!$H54),"-")</f>
        <v>-</v>
      </c>
      <c r="Q54" s="86" t="str">
        <f>IFERROR((I54*365.25)/SUMIFS('Lighting Power Density'!$F$3:$F$50,'Lighting Power Density'!$A$3:$A$50,'LED Lighting Estimator'!$E54,'Lighting Power Density'!$B$3:$B$50,"LED",'Lighting Power Density'!$C$3:$C$50,'LED Lighting Estimator'!$H54),"-")</f>
        <v>-</v>
      </c>
      <c r="R54" s="59">
        <f t="shared" si="10"/>
        <v>0</v>
      </c>
      <c r="S54" s="59">
        <f t="shared" si="11"/>
        <v>0</v>
      </c>
      <c r="T54" s="59">
        <f>M54*IFERROR(SUMIFS('LED Costs'!$C$4:$C$22,'LED Costs'!$A$4:$A$22,'LED Lighting Estimator'!$D$5,'LED Costs'!$B$4:$B$22,'LED Lighting Estimator'!$F54)*1000,0)-IF($K54="No",$D54*SUMIFS('Control Benefit'!$E$12:$E$29,'Control Benefit'!$A$12:$A$29,'LED Lighting Estimator'!$D$5,'Control Benefit'!$B$12:$B$29,'LED Lighting Estimator'!$F54),0)</f>
        <v>0</v>
      </c>
      <c r="U54" s="59">
        <f t="shared" si="4"/>
        <v>0</v>
      </c>
      <c r="V54" s="59">
        <f>IFERROR(D54*P54*(SUMIFS('Other Costs'!$F$2:$F$19,'Other Costs'!$A$2:$A$19,'LED Lighting Estimator'!G54,'Other Costs'!$C$2:$C$19,'LED Lighting Estimator'!H54)+$D$9),0)</f>
        <v>0</v>
      </c>
      <c r="W54" s="60">
        <f>IFERROR(D54*Q54*(M54*SUMIFS('LED Costs'!$C$4:$C$22,'LED Costs'!$A$4:$A$22,$D$5,'LED Costs'!$B$4:$B$22,'LED Lighting Estimator'!$F54)/1000+'LED Lighting Estimator'!$D$9),0)</f>
        <v>0</v>
      </c>
      <c r="X54" s="61">
        <f t="shared" si="5"/>
        <v>0</v>
      </c>
      <c r="Y54" s="61">
        <f>IFERROR(($N54-$O54)*'Emission factors'!$D$4,0)</f>
        <v>0</v>
      </c>
      <c r="AA54" s="84"/>
      <c r="AB54" s="84"/>
      <c r="AC54" s="68" t="str">
        <f>IFERROR(D54*INDEX('BEES Data'!$B$6:$AL$9,MATCH('LED Lighting Estimator'!AB54,'BEES Data'!$A$6:$A$9,0),MATCH('LED Lighting Estimator'!AA54,'BEES Data'!$B$5:$AL$5,0)),"-")</f>
        <v>-</v>
      </c>
      <c r="AD54" s="68">
        <f>IFERROR(AC54*INDEX('BEES Data'!$B$14:$AL$14,1,MATCH('LED Lighting Estimator'!AA54,'BEES Data'!$B$5:$AL$5,0)),0)</f>
        <v>0</v>
      </c>
      <c r="AE54" s="69">
        <f t="shared" si="12"/>
        <v>0</v>
      </c>
      <c r="AF54" s="69">
        <f>IFERROR(AD54*INDEX('BEES Data'!$B$15:$AL$15,1,MATCH('LED Lighting Estimator'!AA54,'BEES Data'!$B$5:$AL$5)),0)</f>
        <v>0</v>
      </c>
      <c r="AG54" s="93">
        <f t="shared" si="9"/>
        <v>0</v>
      </c>
    </row>
    <row r="55" spans="2:33" x14ac:dyDescent="0.3">
      <c r="B55" s="84"/>
      <c r="C55" s="31"/>
      <c r="D55" s="85"/>
      <c r="E55" s="31"/>
      <c r="F55" s="31"/>
      <c r="G55" s="31"/>
      <c r="H55" s="31"/>
      <c r="I55" s="31"/>
      <c r="J55" s="31"/>
      <c r="K55" s="31"/>
      <c r="L55" s="86">
        <f>D55*SUMIFS('Lighting Power Density'!$E$3:$E$50,'Lighting Power Density'!$A$3:$A$50,'LED Lighting Estimator'!E55,'Lighting Power Density'!$B$3:$B$50,'LED Lighting Estimator'!G55,'Lighting Power Density'!$C$3:$C$50,'LED Lighting Estimator'!H55)/1000</f>
        <v>0</v>
      </c>
      <c r="M55" s="86">
        <f>D55*SUMIFS('Lighting Power Density'!$E$3:$E$50,'Lighting Power Density'!$A$3:$A$50,'LED Lighting Estimator'!E55,'Lighting Power Density'!$B$3:$B$50,"LED",'Lighting Power Density'!$C$3:$C$50,'LED Lighting Estimator'!H55)/1000</f>
        <v>0</v>
      </c>
      <c r="N55" s="58">
        <f t="shared" si="2"/>
        <v>0</v>
      </c>
      <c r="O55" s="58">
        <f>IFERROR(I55*365.25*M55*J55/7,0)*(1-IF(K55="Yes",SUMIFS('Control Benefit'!$C$12:$C$29,'Control Benefit'!$A$12:$A$29,'LED Lighting Estimator'!$D$5,'Control Benefit'!$B$12:$B$29,'LED Lighting Estimator'!$F55),0))</f>
        <v>0</v>
      </c>
      <c r="P55" s="86" t="str">
        <f>IFERROR((I55*365.25)/SUMIFS('Lighting Power Density'!$F$3:$F$50,'Lighting Power Density'!$A$3:$A$50,'LED Lighting Estimator'!$E55,'Lighting Power Density'!$B$3:$B$50,'LED Lighting Estimator'!$G55,'Lighting Power Density'!$C$3:$C$50,'LED Lighting Estimator'!$H55),"-")</f>
        <v>-</v>
      </c>
      <c r="Q55" s="86" t="str">
        <f>IFERROR((I55*365.25)/SUMIFS('Lighting Power Density'!$F$3:$F$50,'Lighting Power Density'!$A$3:$A$50,'LED Lighting Estimator'!$E55,'Lighting Power Density'!$B$3:$B$50,"LED",'Lighting Power Density'!$C$3:$C$50,'LED Lighting Estimator'!$H55),"-")</f>
        <v>-</v>
      </c>
      <c r="R55" s="59">
        <f t="shared" si="10"/>
        <v>0</v>
      </c>
      <c r="S55" s="59">
        <f t="shared" si="11"/>
        <v>0</v>
      </c>
      <c r="T55" s="59">
        <f>M55*IFERROR(SUMIFS('LED Costs'!$C$4:$C$22,'LED Costs'!$A$4:$A$22,'LED Lighting Estimator'!$D$5,'LED Costs'!$B$4:$B$22,'LED Lighting Estimator'!$F55)*1000,0)-IF($K55="No",$D55*SUMIFS('Control Benefit'!$E$12:$E$29,'Control Benefit'!$A$12:$A$29,'LED Lighting Estimator'!$D$5,'Control Benefit'!$B$12:$B$29,'LED Lighting Estimator'!$F55),0)</f>
        <v>0</v>
      </c>
      <c r="U55" s="59">
        <f t="shared" si="4"/>
        <v>0</v>
      </c>
      <c r="V55" s="59">
        <f>IFERROR(D55*P55*(SUMIFS('Other Costs'!$F$2:$F$19,'Other Costs'!$A$2:$A$19,'LED Lighting Estimator'!G55,'Other Costs'!$C$2:$C$19,'LED Lighting Estimator'!H55)+$D$9),0)</f>
        <v>0</v>
      </c>
      <c r="W55" s="60">
        <f>IFERROR(D55*Q55*(M55*SUMIFS('LED Costs'!$C$4:$C$22,'LED Costs'!$A$4:$A$22,$D$5,'LED Costs'!$B$4:$B$22,'LED Lighting Estimator'!$F55)/1000+'LED Lighting Estimator'!$D$9),0)</f>
        <v>0</v>
      </c>
      <c r="X55" s="61">
        <f t="shared" si="5"/>
        <v>0</v>
      </c>
      <c r="Y55" s="61">
        <f>IFERROR(($N55-$O55)*'Emission factors'!$D$4,0)</f>
        <v>0</v>
      </c>
      <c r="AA55" s="84"/>
      <c r="AB55" s="84"/>
      <c r="AC55" s="68" t="str">
        <f>IFERROR(D55*INDEX('BEES Data'!$B$6:$AL$9,MATCH('LED Lighting Estimator'!AB55,'BEES Data'!$A$6:$A$9,0),MATCH('LED Lighting Estimator'!AA55,'BEES Data'!$B$5:$AL$5,0)),"-")</f>
        <v>-</v>
      </c>
      <c r="AD55" s="68">
        <f>IFERROR(AC55*INDEX('BEES Data'!$B$14:$AL$14,1,MATCH('LED Lighting Estimator'!AA55,'BEES Data'!$B$5:$AL$5,0)),0)</f>
        <v>0</v>
      </c>
      <c r="AE55" s="69">
        <f t="shared" si="12"/>
        <v>0</v>
      </c>
      <c r="AF55" s="69">
        <f>IFERROR(AD55*INDEX('BEES Data'!$B$15:$AL$15,1,MATCH('LED Lighting Estimator'!AA55,'BEES Data'!$B$5:$AL$5)),0)</f>
        <v>0</v>
      </c>
      <c r="AG55" s="93">
        <f t="shared" si="9"/>
        <v>0</v>
      </c>
    </row>
    <row r="56" spans="2:33" x14ac:dyDescent="0.3">
      <c r="B56" s="84"/>
      <c r="C56" s="31"/>
      <c r="D56" s="85"/>
      <c r="E56" s="31"/>
      <c r="F56" s="31"/>
      <c r="G56" s="31"/>
      <c r="H56" s="31"/>
      <c r="I56" s="31"/>
      <c r="J56" s="31"/>
      <c r="K56" s="31"/>
      <c r="L56" s="86">
        <f>D56*SUMIFS('Lighting Power Density'!$E$3:$E$50,'Lighting Power Density'!$A$3:$A$50,'LED Lighting Estimator'!E56,'Lighting Power Density'!$B$3:$B$50,'LED Lighting Estimator'!G56,'Lighting Power Density'!$C$3:$C$50,'LED Lighting Estimator'!H56)/1000</f>
        <v>0</v>
      </c>
      <c r="M56" s="86">
        <f>D56*SUMIFS('Lighting Power Density'!$E$3:$E$50,'Lighting Power Density'!$A$3:$A$50,'LED Lighting Estimator'!E56,'Lighting Power Density'!$B$3:$B$50,"LED",'Lighting Power Density'!$C$3:$C$50,'LED Lighting Estimator'!H56)/1000</f>
        <v>0</v>
      </c>
      <c r="N56" s="58">
        <f t="shared" si="2"/>
        <v>0</v>
      </c>
      <c r="O56" s="58">
        <f>IFERROR(I56*365.25*M56*J56/7,0)*(1-IF(K56="Yes",SUMIFS('Control Benefit'!$C$12:$C$29,'Control Benefit'!$A$12:$A$29,'LED Lighting Estimator'!$D$5,'Control Benefit'!$B$12:$B$29,'LED Lighting Estimator'!$F56),0))</f>
        <v>0</v>
      </c>
      <c r="P56" s="86" t="str">
        <f>IFERROR((I56*365.25)/SUMIFS('Lighting Power Density'!$F$3:$F$50,'Lighting Power Density'!$A$3:$A$50,'LED Lighting Estimator'!$E56,'Lighting Power Density'!$B$3:$B$50,'LED Lighting Estimator'!$G56,'Lighting Power Density'!$C$3:$C$50,'LED Lighting Estimator'!$H56),"-")</f>
        <v>-</v>
      </c>
      <c r="Q56" s="86" t="str">
        <f>IFERROR((I56*365.25)/SUMIFS('Lighting Power Density'!$F$3:$F$50,'Lighting Power Density'!$A$3:$A$50,'LED Lighting Estimator'!$E56,'Lighting Power Density'!$B$3:$B$50,"LED",'Lighting Power Density'!$C$3:$C$50,'LED Lighting Estimator'!$H56),"-")</f>
        <v>-</v>
      </c>
      <c r="R56" s="59">
        <f t="shared" si="10"/>
        <v>0</v>
      </c>
      <c r="S56" s="59">
        <f t="shared" si="11"/>
        <v>0</v>
      </c>
      <c r="T56" s="59">
        <f>M56*IFERROR(SUMIFS('LED Costs'!$C$4:$C$22,'LED Costs'!$A$4:$A$22,'LED Lighting Estimator'!$D$5,'LED Costs'!$B$4:$B$22,'LED Lighting Estimator'!$F56)*1000,0)-IF($K56="No",$D56*SUMIFS('Control Benefit'!$E$12:$E$29,'Control Benefit'!$A$12:$A$29,'LED Lighting Estimator'!$D$5,'Control Benefit'!$B$12:$B$29,'LED Lighting Estimator'!$F56),0)</f>
        <v>0</v>
      </c>
      <c r="U56" s="59">
        <f t="shared" si="4"/>
        <v>0</v>
      </c>
      <c r="V56" s="59">
        <f>IFERROR(D56*P56*(SUMIFS('Other Costs'!$F$2:$F$19,'Other Costs'!$A$2:$A$19,'LED Lighting Estimator'!G56,'Other Costs'!$C$2:$C$19,'LED Lighting Estimator'!H56)+$D$9),0)</f>
        <v>0</v>
      </c>
      <c r="W56" s="60">
        <f>IFERROR(D56*Q56*(M56*SUMIFS('LED Costs'!$C$4:$C$22,'LED Costs'!$A$4:$A$22,$D$5,'LED Costs'!$B$4:$B$22,'LED Lighting Estimator'!$F56)/1000+'LED Lighting Estimator'!$D$9),0)</f>
        <v>0</v>
      </c>
      <c r="X56" s="61">
        <f t="shared" si="5"/>
        <v>0</v>
      </c>
      <c r="Y56" s="61">
        <f>IFERROR(($N56-$O56)*'Emission factors'!$D$4,0)</f>
        <v>0</v>
      </c>
      <c r="AA56" s="84"/>
      <c r="AB56" s="84"/>
      <c r="AC56" s="68" t="str">
        <f>IFERROR(D56*INDEX('BEES Data'!$B$6:$AL$9,MATCH('LED Lighting Estimator'!AB56,'BEES Data'!$A$6:$A$9,0),MATCH('LED Lighting Estimator'!AA56,'BEES Data'!$B$5:$AL$5,0)),"-")</f>
        <v>-</v>
      </c>
      <c r="AD56" s="68">
        <f>IFERROR(AC56*INDEX('BEES Data'!$B$14:$AL$14,1,MATCH('LED Lighting Estimator'!AA56,'BEES Data'!$B$5:$AL$5,0)),0)</f>
        <v>0</v>
      </c>
      <c r="AE56" s="69">
        <f t="shared" si="12"/>
        <v>0</v>
      </c>
      <c r="AF56" s="69">
        <f>IFERROR(AD56*INDEX('BEES Data'!$B$15:$AL$15,1,MATCH('LED Lighting Estimator'!AA56,'BEES Data'!$B$5:$AL$5)),0)</f>
        <v>0</v>
      </c>
      <c r="AG56" s="93">
        <f t="shared" si="9"/>
        <v>0</v>
      </c>
    </row>
    <row r="57" spans="2:33" x14ac:dyDescent="0.3">
      <c r="B57" s="84"/>
      <c r="C57" s="31"/>
      <c r="D57" s="85"/>
      <c r="E57" s="31"/>
      <c r="F57" s="31"/>
      <c r="G57" s="31"/>
      <c r="H57" s="31"/>
      <c r="I57" s="31"/>
      <c r="J57" s="31"/>
      <c r="K57" s="31"/>
      <c r="L57" s="86">
        <f>D57*SUMIFS('Lighting Power Density'!$E$3:$E$50,'Lighting Power Density'!$A$3:$A$50,'LED Lighting Estimator'!E57,'Lighting Power Density'!$B$3:$B$50,'LED Lighting Estimator'!G57,'Lighting Power Density'!$C$3:$C$50,'LED Lighting Estimator'!H57)/1000</f>
        <v>0</v>
      </c>
      <c r="M57" s="86">
        <f>D57*SUMIFS('Lighting Power Density'!$E$3:$E$50,'Lighting Power Density'!$A$3:$A$50,'LED Lighting Estimator'!E57,'Lighting Power Density'!$B$3:$B$50,"LED",'Lighting Power Density'!$C$3:$C$50,'LED Lighting Estimator'!H57)/1000</f>
        <v>0</v>
      </c>
      <c r="N57" s="58">
        <f t="shared" si="2"/>
        <v>0</v>
      </c>
      <c r="O57" s="58">
        <f>IFERROR(I57*365.25*M57*J57/7,0)*(1-IF(K57="Yes",SUMIFS('Control Benefit'!$C$12:$C$29,'Control Benefit'!$A$12:$A$29,'LED Lighting Estimator'!$D$5,'Control Benefit'!$B$12:$B$29,'LED Lighting Estimator'!$F57),0))</f>
        <v>0</v>
      </c>
      <c r="P57" s="86" t="str">
        <f>IFERROR((I57*365.25)/SUMIFS('Lighting Power Density'!$F$3:$F$50,'Lighting Power Density'!$A$3:$A$50,'LED Lighting Estimator'!$E57,'Lighting Power Density'!$B$3:$B$50,'LED Lighting Estimator'!$G57,'Lighting Power Density'!$C$3:$C$50,'LED Lighting Estimator'!$H57),"-")</f>
        <v>-</v>
      </c>
      <c r="Q57" s="86" t="str">
        <f>IFERROR((I57*365.25)/SUMIFS('Lighting Power Density'!$F$3:$F$50,'Lighting Power Density'!$A$3:$A$50,'LED Lighting Estimator'!$E57,'Lighting Power Density'!$B$3:$B$50,"LED",'Lighting Power Density'!$C$3:$C$50,'LED Lighting Estimator'!$H57),"-")</f>
        <v>-</v>
      </c>
      <c r="R57" s="59">
        <f t="shared" si="10"/>
        <v>0</v>
      </c>
      <c r="S57" s="59">
        <f t="shared" si="11"/>
        <v>0</v>
      </c>
      <c r="T57" s="59">
        <f>M57*IFERROR(SUMIFS('LED Costs'!$C$4:$C$22,'LED Costs'!$A$4:$A$22,'LED Lighting Estimator'!$D$5,'LED Costs'!$B$4:$B$22,'LED Lighting Estimator'!$F57)*1000,0)-IF($K57="No",$D57*SUMIFS('Control Benefit'!$E$12:$E$29,'Control Benefit'!$A$12:$A$29,'LED Lighting Estimator'!$D$5,'Control Benefit'!$B$12:$B$29,'LED Lighting Estimator'!$F57),0)</f>
        <v>0</v>
      </c>
      <c r="U57" s="59">
        <f t="shared" si="4"/>
        <v>0</v>
      </c>
      <c r="V57" s="59">
        <f>IFERROR(D57*P57*(SUMIFS('Other Costs'!$F$2:$F$19,'Other Costs'!$A$2:$A$19,'LED Lighting Estimator'!G57,'Other Costs'!$C$2:$C$19,'LED Lighting Estimator'!H57)+$D$9),0)</f>
        <v>0</v>
      </c>
      <c r="W57" s="60">
        <f>IFERROR(D57*Q57*(M57*SUMIFS('LED Costs'!$C$4:$C$22,'LED Costs'!$A$4:$A$22,$D$5,'LED Costs'!$B$4:$B$22,'LED Lighting Estimator'!$F57)/1000+'LED Lighting Estimator'!$D$9),0)</f>
        <v>0</v>
      </c>
      <c r="X57" s="61">
        <f t="shared" si="5"/>
        <v>0</v>
      </c>
      <c r="Y57" s="61">
        <f>IFERROR(($N57-$O57)*'Emission factors'!$D$4,0)</f>
        <v>0</v>
      </c>
      <c r="AA57" s="84"/>
      <c r="AB57" s="84"/>
      <c r="AC57" s="68" t="str">
        <f>IFERROR(D57*INDEX('BEES Data'!$B$6:$AL$9,MATCH('LED Lighting Estimator'!AB57,'BEES Data'!$A$6:$A$9,0),MATCH('LED Lighting Estimator'!AA57,'BEES Data'!$B$5:$AL$5,0)),"-")</f>
        <v>-</v>
      </c>
      <c r="AD57" s="68">
        <f>IFERROR(AC57*INDEX('BEES Data'!$B$14:$AL$14,1,MATCH('LED Lighting Estimator'!AA57,'BEES Data'!$B$5:$AL$5,0)),0)</f>
        <v>0</v>
      </c>
      <c r="AE57" s="69">
        <f t="shared" si="12"/>
        <v>0</v>
      </c>
      <c r="AF57" s="69">
        <f>IFERROR(AD57*INDEX('BEES Data'!$B$15:$AL$15,1,MATCH('LED Lighting Estimator'!AA57,'BEES Data'!$B$5:$AL$5)),0)</f>
        <v>0</v>
      </c>
      <c r="AG57" s="93">
        <f t="shared" si="9"/>
        <v>0</v>
      </c>
    </row>
    <row r="58" spans="2:33" x14ac:dyDescent="0.3">
      <c r="B58" s="84"/>
      <c r="C58" s="31"/>
      <c r="D58" s="85"/>
      <c r="E58" s="31"/>
      <c r="F58" s="31"/>
      <c r="G58" s="31"/>
      <c r="H58" s="31"/>
      <c r="I58" s="31"/>
      <c r="J58" s="31"/>
      <c r="K58" s="31"/>
      <c r="L58" s="86">
        <f>D58*SUMIFS('Lighting Power Density'!$E$3:$E$50,'Lighting Power Density'!$A$3:$A$50,'LED Lighting Estimator'!E58,'Lighting Power Density'!$B$3:$B$50,'LED Lighting Estimator'!G58,'Lighting Power Density'!$C$3:$C$50,'LED Lighting Estimator'!H58)/1000</f>
        <v>0</v>
      </c>
      <c r="M58" s="86">
        <f>D58*SUMIFS('Lighting Power Density'!$E$3:$E$50,'Lighting Power Density'!$A$3:$A$50,'LED Lighting Estimator'!E58,'Lighting Power Density'!$B$3:$B$50,"LED",'Lighting Power Density'!$C$3:$C$50,'LED Lighting Estimator'!H58)/1000</f>
        <v>0</v>
      </c>
      <c r="N58" s="58">
        <f t="shared" si="2"/>
        <v>0</v>
      </c>
      <c r="O58" s="58">
        <f>IFERROR(I58*365.25*M58*J58/7,0)*(1-IF(K58="Yes",SUMIFS('Control Benefit'!$C$12:$C$29,'Control Benefit'!$A$12:$A$29,'LED Lighting Estimator'!$D$5,'Control Benefit'!$B$12:$B$29,'LED Lighting Estimator'!$F58),0))</f>
        <v>0</v>
      </c>
      <c r="P58" s="86" t="str">
        <f>IFERROR((I58*365.25)/SUMIFS('Lighting Power Density'!$F$3:$F$50,'Lighting Power Density'!$A$3:$A$50,'LED Lighting Estimator'!$E58,'Lighting Power Density'!$B$3:$B$50,'LED Lighting Estimator'!$G58,'Lighting Power Density'!$C$3:$C$50,'LED Lighting Estimator'!$H58),"-")</f>
        <v>-</v>
      </c>
      <c r="Q58" s="86" t="str">
        <f>IFERROR((I58*365.25)/SUMIFS('Lighting Power Density'!$F$3:$F$50,'Lighting Power Density'!$A$3:$A$50,'LED Lighting Estimator'!$E58,'Lighting Power Density'!$B$3:$B$50,"LED",'Lighting Power Density'!$C$3:$C$50,'LED Lighting Estimator'!$H58),"-")</f>
        <v>-</v>
      </c>
      <c r="R58" s="59">
        <f t="shared" si="10"/>
        <v>0</v>
      </c>
      <c r="S58" s="59">
        <f t="shared" si="11"/>
        <v>0</v>
      </c>
      <c r="T58" s="59">
        <f>M58*IFERROR(SUMIFS('LED Costs'!$C$4:$C$22,'LED Costs'!$A$4:$A$22,'LED Lighting Estimator'!$D$5,'LED Costs'!$B$4:$B$22,'LED Lighting Estimator'!$F58)*1000,0)-IF($K58="No",$D58*SUMIFS('Control Benefit'!$E$12:$E$29,'Control Benefit'!$A$12:$A$29,'LED Lighting Estimator'!$D$5,'Control Benefit'!$B$12:$B$29,'LED Lighting Estimator'!$F58),0)</f>
        <v>0</v>
      </c>
      <c r="U58" s="59">
        <f t="shared" si="4"/>
        <v>0</v>
      </c>
      <c r="V58" s="59">
        <f>IFERROR(D58*P58*(SUMIFS('Other Costs'!$F$2:$F$19,'Other Costs'!$A$2:$A$19,'LED Lighting Estimator'!G58,'Other Costs'!$C$2:$C$19,'LED Lighting Estimator'!H58)+$D$9),0)</f>
        <v>0</v>
      </c>
      <c r="W58" s="60">
        <f>IFERROR(D58*Q58*(M58*SUMIFS('LED Costs'!$C$4:$C$22,'LED Costs'!$A$4:$A$22,$D$5,'LED Costs'!$B$4:$B$22,'LED Lighting Estimator'!$F58)/1000+'LED Lighting Estimator'!$D$9),0)</f>
        <v>0</v>
      </c>
      <c r="X58" s="61">
        <f t="shared" si="5"/>
        <v>0</v>
      </c>
      <c r="Y58" s="61">
        <f>IFERROR(($N58-$O58)*'Emission factors'!$D$4,0)</f>
        <v>0</v>
      </c>
      <c r="AA58" s="84"/>
      <c r="AB58" s="84"/>
      <c r="AC58" s="68" t="str">
        <f>IFERROR(D58*INDEX('BEES Data'!$B$6:$AL$9,MATCH('LED Lighting Estimator'!AB58,'BEES Data'!$A$6:$A$9,0),MATCH('LED Lighting Estimator'!AA58,'BEES Data'!$B$5:$AL$5,0)),"-")</f>
        <v>-</v>
      </c>
      <c r="AD58" s="68">
        <f>IFERROR(AC58*INDEX('BEES Data'!$B$14:$AL$14,1,MATCH('LED Lighting Estimator'!AA58,'BEES Data'!$B$5:$AL$5,0)),0)</f>
        <v>0</v>
      </c>
      <c r="AE58" s="69">
        <f t="shared" si="12"/>
        <v>0</v>
      </c>
      <c r="AF58" s="69">
        <f>IFERROR(AD58*INDEX('BEES Data'!$B$15:$AL$15,1,MATCH('LED Lighting Estimator'!AA58,'BEES Data'!$B$5:$AL$5)),0)</f>
        <v>0</v>
      </c>
      <c r="AG58" s="93">
        <f t="shared" si="9"/>
        <v>0</v>
      </c>
    </row>
    <row r="59" spans="2:33" x14ac:dyDescent="0.3">
      <c r="B59" s="84"/>
      <c r="C59" s="31"/>
      <c r="D59" s="85"/>
      <c r="E59" s="31"/>
      <c r="F59" s="31"/>
      <c r="G59" s="31"/>
      <c r="H59" s="31"/>
      <c r="I59" s="31"/>
      <c r="J59" s="31"/>
      <c r="K59" s="31"/>
      <c r="L59" s="86">
        <f>D59*SUMIFS('Lighting Power Density'!$E$3:$E$50,'Lighting Power Density'!$A$3:$A$50,'LED Lighting Estimator'!E59,'Lighting Power Density'!$B$3:$B$50,'LED Lighting Estimator'!G59,'Lighting Power Density'!$C$3:$C$50,'LED Lighting Estimator'!H59)/1000</f>
        <v>0</v>
      </c>
      <c r="M59" s="86">
        <f>D59*SUMIFS('Lighting Power Density'!$E$3:$E$50,'Lighting Power Density'!$A$3:$A$50,'LED Lighting Estimator'!E59,'Lighting Power Density'!$B$3:$B$50,"LED",'Lighting Power Density'!$C$3:$C$50,'LED Lighting Estimator'!H59)/1000</f>
        <v>0</v>
      </c>
      <c r="N59" s="58">
        <f t="shared" si="2"/>
        <v>0</v>
      </c>
      <c r="O59" s="58">
        <f>IFERROR(I59*365.25*M59*J59/7,0)*(1-IF(K59="Yes",SUMIFS('Control Benefit'!$C$12:$C$29,'Control Benefit'!$A$12:$A$29,'LED Lighting Estimator'!$D$5,'Control Benefit'!$B$12:$B$29,'LED Lighting Estimator'!$F59),0))</f>
        <v>0</v>
      </c>
      <c r="P59" s="86" t="str">
        <f>IFERROR((I59*365.25)/SUMIFS('Lighting Power Density'!$F$3:$F$50,'Lighting Power Density'!$A$3:$A$50,'LED Lighting Estimator'!$E59,'Lighting Power Density'!$B$3:$B$50,'LED Lighting Estimator'!$G59,'Lighting Power Density'!$C$3:$C$50,'LED Lighting Estimator'!$H59),"-")</f>
        <v>-</v>
      </c>
      <c r="Q59" s="86" t="str">
        <f>IFERROR((I59*365.25)/SUMIFS('Lighting Power Density'!$F$3:$F$50,'Lighting Power Density'!$A$3:$A$50,'LED Lighting Estimator'!$E59,'Lighting Power Density'!$B$3:$B$50,"LED",'Lighting Power Density'!$C$3:$C$50,'LED Lighting Estimator'!$H59),"-")</f>
        <v>-</v>
      </c>
      <c r="R59" s="59">
        <f t="shared" si="10"/>
        <v>0</v>
      </c>
      <c r="S59" s="59">
        <f t="shared" si="11"/>
        <v>0</v>
      </c>
      <c r="T59" s="59">
        <f>M59*IFERROR(SUMIFS('LED Costs'!$C$4:$C$22,'LED Costs'!$A$4:$A$22,'LED Lighting Estimator'!$D$5,'LED Costs'!$B$4:$B$22,'LED Lighting Estimator'!$F59)*1000,0)-IF($K59="No",$D59*SUMIFS('Control Benefit'!$E$12:$E$29,'Control Benefit'!$A$12:$A$29,'LED Lighting Estimator'!$D$5,'Control Benefit'!$B$12:$B$29,'LED Lighting Estimator'!$F59),0)</f>
        <v>0</v>
      </c>
      <c r="U59" s="59">
        <f t="shared" si="4"/>
        <v>0</v>
      </c>
      <c r="V59" s="59">
        <f>IFERROR(D59*P59*(SUMIFS('Other Costs'!$F$2:$F$19,'Other Costs'!$A$2:$A$19,'LED Lighting Estimator'!G59,'Other Costs'!$C$2:$C$19,'LED Lighting Estimator'!H59)+$D$9),0)</f>
        <v>0</v>
      </c>
      <c r="W59" s="60">
        <f>IFERROR(D59*Q59*(M59*SUMIFS('LED Costs'!$C$4:$C$22,'LED Costs'!$A$4:$A$22,$D$5,'LED Costs'!$B$4:$B$22,'LED Lighting Estimator'!$F59)/1000+'LED Lighting Estimator'!$D$9),0)</f>
        <v>0</v>
      </c>
      <c r="X59" s="61">
        <f t="shared" si="5"/>
        <v>0</v>
      </c>
      <c r="Y59" s="61">
        <f>IFERROR(($N59-$O59)*'Emission factors'!$D$4,0)</f>
        <v>0</v>
      </c>
      <c r="AA59" s="84"/>
      <c r="AB59" s="84"/>
      <c r="AC59" s="68" t="str">
        <f>IFERROR(D59*INDEX('BEES Data'!$B$6:$AL$9,MATCH('LED Lighting Estimator'!AB59,'BEES Data'!$A$6:$A$9,0),MATCH('LED Lighting Estimator'!AA59,'BEES Data'!$B$5:$AL$5,0)),"-")</f>
        <v>-</v>
      </c>
      <c r="AD59" s="68">
        <f>IFERROR(AC59*INDEX('BEES Data'!$B$14:$AL$14,1,MATCH('LED Lighting Estimator'!AA59,'BEES Data'!$B$5:$AL$5,0)),0)</f>
        <v>0</v>
      </c>
      <c r="AE59" s="69">
        <f t="shared" si="12"/>
        <v>0</v>
      </c>
      <c r="AF59" s="69">
        <f>IFERROR(AD59*INDEX('BEES Data'!$B$15:$AL$15,1,MATCH('LED Lighting Estimator'!AA59,'BEES Data'!$B$5:$AL$5)),0)</f>
        <v>0</v>
      </c>
      <c r="AG59" s="93">
        <f t="shared" si="9"/>
        <v>0</v>
      </c>
    </row>
    <row r="60" spans="2:33" x14ac:dyDescent="0.3">
      <c r="B60" s="84"/>
      <c r="C60" s="31"/>
      <c r="D60" s="85"/>
      <c r="E60" s="31"/>
      <c r="F60" s="31"/>
      <c r="G60" s="31"/>
      <c r="H60" s="31"/>
      <c r="I60" s="31"/>
      <c r="J60" s="31"/>
      <c r="K60" s="31"/>
      <c r="L60" s="86">
        <f>D60*SUMIFS('Lighting Power Density'!$E$3:$E$50,'Lighting Power Density'!$A$3:$A$50,'LED Lighting Estimator'!E60,'Lighting Power Density'!$B$3:$B$50,'LED Lighting Estimator'!G60,'Lighting Power Density'!$C$3:$C$50,'LED Lighting Estimator'!H60)/1000</f>
        <v>0</v>
      </c>
      <c r="M60" s="86">
        <f>D60*SUMIFS('Lighting Power Density'!$E$3:$E$50,'Lighting Power Density'!$A$3:$A$50,'LED Lighting Estimator'!E60,'Lighting Power Density'!$B$3:$B$50,"LED",'Lighting Power Density'!$C$3:$C$50,'LED Lighting Estimator'!H60)/1000</f>
        <v>0</v>
      </c>
      <c r="N60" s="58">
        <f t="shared" si="2"/>
        <v>0</v>
      </c>
      <c r="O60" s="58">
        <f>IFERROR(I60*365.25*M60*J60/7,0)*(1-IF(K60="Yes",SUMIFS('Control Benefit'!$C$12:$C$29,'Control Benefit'!$A$12:$A$29,'LED Lighting Estimator'!$D$5,'Control Benefit'!$B$12:$B$29,'LED Lighting Estimator'!$F60),0))</f>
        <v>0</v>
      </c>
      <c r="P60" s="86" t="str">
        <f>IFERROR((I60*365.25)/SUMIFS('Lighting Power Density'!$F$3:$F$50,'Lighting Power Density'!$A$3:$A$50,'LED Lighting Estimator'!$E60,'Lighting Power Density'!$B$3:$B$50,'LED Lighting Estimator'!$G60,'Lighting Power Density'!$C$3:$C$50,'LED Lighting Estimator'!$H60),"-")</f>
        <v>-</v>
      </c>
      <c r="Q60" s="86" t="str">
        <f>IFERROR((I60*365.25)/SUMIFS('Lighting Power Density'!$F$3:$F$50,'Lighting Power Density'!$A$3:$A$50,'LED Lighting Estimator'!$E60,'Lighting Power Density'!$B$3:$B$50,"LED",'Lighting Power Density'!$C$3:$C$50,'LED Lighting Estimator'!$H60),"-")</f>
        <v>-</v>
      </c>
      <c r="R60" s="59">
        <f t="shared" si="10"/>
        <v>0</v>
      </c>
      <c r="S60" s="59">
        <f t="shared" si="11"/>
        <v>0</v>
      </c>
      <c r="T60" s="59">
        <f>M60*IFERROR(SUMIFS('LED Costs'!$C$4:$C$22,'LED Costs'!$A$4:$A$22,'LED Lighting Estimator'!$D$5,'LED Costs'!$B$4:$B$22,'LED Lighting Estimator'!$F60)*1000,0)-IF($K60="No",$D60*SUMIFS('Control Benefit'!$E$12:$E$29,'Control Benefit'!$A$12:$A$29,'LED Lighting Estimator'!$D$5,'Control Benefit'!$B$12:$B$29,'LED Lighting Estimator'!$F60),0)</f>
        <v>0</v>
      </c>
      <c r="U60" s="59">
        <f t="shared" si="4"/>
        <v>0</v>
      </c>
      <c r="V60" s="59">
        <f>IFERROR(D60*P60*(SUMIFS('Other Costs'!$F$2:$F$19,'Other Costs'!$A$2:$A$19,'LED Lighting Estimator'!G60,'Other Costs'!$C$2:$C$19,'LED Lighting Estimator'!H60)+$D$9),0)</f>
        <v>0</v>
      </c>
      <c r="W60" s="60">
        <f>IFERROR(D60*Q60*(M60*SUMIFS('LED Costs'!$C$4:$C$22,'LED Costs'!$A$4:$A$22,$D$5,'LED Costs'!$B$4:$B$22,'LED Lighting Estimator'!$F60)/1000+'LED Lighting Estimator'!$D$9),0)</f>
        <v>0</v>
      </c>
      <c r="X60" s="61">
        <f t="shared" si="5"/>
        <v>0</v>
      </c>
      <c r="Y60" s="61">
        <f>IFERROR(($N60-$O60)*'Emission factors'!$D$4,0)</f>
        <v>0</v>
      </c>
      <c r="AA60" s="84"/>
      <c r="AB60" s="84"/>
      <c r="AC60" s="68" t="str">
        <f>IFERROR(D60*INDEX('BEES Data'!$B$6:$AL$9,MATCH('LED Lighting Estimator'!AB60,'BEES Data'!$A$6:$A$9,0),MATCH('LED Lighting Estimator'!AA60,'BEES Data'!$B$5:$AL$5,0)),"-")</f>
        <v>-</v>
      </c>
      <c r="AD60" s="68">
        <f>IFERROR(AC60*INDEX('BEES Data'!$B$14:$AL$14,1,MATCH('LED Lighting Estimator'!AA60,'BEES Data'!$B$5:$AL$5,0)),0)</f>
        <v>0</v>
      </c>
      <c r="AE60" s="69">
        <f t="shared" si="12"/>
        <v>0</v>
      </c>
      <c r="AF60" s="69">
        <f>IFERROR(AD60*INDEX('BEES Data'!$B$15:$AL$15,1,MATCH('LED Lighting Estimator'!AA60,'BEES Data'!$B$5:$AL$5)),0)</f>
        <v>0</v>
      </c>
      <c r="AG60" s="93">
        <f t="shared" si="9"/>
        <v>0</v>
      </c>
    </row>
    <row r="61" spans="2:33" x14ac:dyDescent="0.3">
      <c r="B61" s="84"/>
      <c r="C61" s="31"/>
      <c r="D61" s="85"/>
      <c r="E61" s="31"/>
      <c r="F61" s="31"/>
      <c r="G61" s="31"/>
      <c r="H61" s="31"/>
      <c r="I61" s="31"/>
      <c r="J61" s="31"/>
      <c r="K61" s="31"/>
      <c r="L61" s="86">
        <f>D61*SUMIFS('Lighting Power Density'!$E$3:$E$50,'Lighting Power Density'!$A$3:$A$50,'LED Lighting Estimator'!E61,'Lighting Power Density'!$B$3:$B$50,'LED Lighting Estimator'!G61,'Lighting Power Density'!$C$3:$C$50,'LED Lighting Estimator'!H61)/1000</f>
        <v>0</v>
      </c>
      <c r="M61" s="86">
        <f>D61*SUMIFS('Lighting Power Density'!$E$3:$E$50,'Lighting Power Density'!$A$3:$A$50,'LED Lighting Estimator'!E61,'Lighting Power Density'!$B$3:$B$50,"LED",'Lighting Power Density'!$C$3:$C$50,'LED Lighting Estimator'!H61)/1000</f>
        <v>0</v>
      </c>
      <c r="N61" s="58">
        <f t="shared" si="2"/>
        <v>0</v>
      </c>
      <c r="O61" s="58">
        <f>IFERROR(I61*365.25*M61*J61/7,0)*(1-IF(K61="Yes",SUMIFS('Control Benefit'!$C$12:$C$29,'Control Benefit'!$A$12:$A$29,'LED Lighting Estimator'!$D$5,'Control Benefit'!$B$12:$B$29,'LED Lighting Estimator'!$F61),0))</f>
        <v>0</v>
      </c>
      <c r="P61" s="86" t="str">
        <f>IFERROR((I61*365.25)/SUMIFS('Lighting Power Density'!$F$3:$F$50,'Lighting Power Density'!$A$3:$A$50,'LED Lighting Estimator'!$E61,'Lighting Power Density'!$B$3:$B$50,'LED Lighting Estimator'!$G61,'Lighting Power Density'!$C$3:$C$50,'LED Lighting Estimator'!$H61),"-")</f>
        <v>-</v>
      </c>
      <c r="Q61" s="86" t="str">
        <f>IFERROR((I61*365.25)/SUMIFS('Lighting Power Density'!$F$3:$F$50,'Lighting Power Density'!$A$3:$A$50,'LED Lighting Estimator'!$E61,'Lighting Power Density'!$B$3:$B$50,"LED",'Lighting Power Density'!$C$3:$C$50,'LED Lighting Estimator'!$H61),"-")</f>
        <v>-</v>
      </c>
      <c r="R61" s="59">
        <f t="shared" si="10"/>
        <v>0</v>
      </c>
      <c r="S61" s="59">
        <f t="shared" si="11"/>
        <v>0</v>
      </c>
      <c r="T61" s="59">
        <f>M61*IFERROR(SUMIFS('LED Costs'!$C$4:$C$22,'LED Costs'!$A$4:$A$22,'LED Lighting Estimator'!$D$5,'LED Costs'!$B$4:$B$22,'LED Lighting Estimator'!$F61)*1000,0)-IF($K61="No",$D61*SUMIFS('Control Benefit'!$E$12:$E$29,'Control Benefit'!$A$12:$A$29,'LED Lighting Estimator'!$D$5,'Control Benefit'!$B$12:$B$29,'LED Lighting Estimator'!$F61),0)</f>
        <v>0</v>
      </c>
      <c r="U61" s="59">
        <f t="shared" si="4"/>
        <v>0</v>
      </c>
      <c r="V61" s="59">
        <f>IFERROR(D61*P61*(SUMIFS('Other Costs'!$F$2:$F$19,'Other Costs'!$A$2:$A$19,'LED Lighting Estimator'!G61,'Other Costs'!$C$2:$C$19,'LED Lighting Estimator'!H61)+$D$9),0)</f>
        <v>0</v>
      </c>
      <c r="W61" s="60">
        <f>IFERROR(D61*Q61*(M61*SUMIFS('LED Costs'!$C$4:$C$22,'LED Costs'!$A$4:$A$22,$D$5,'LED Costs'!$B$4:$B$22,'LED Lighting Estimator'!$F61)/1000+'LED Lighting Estimator'!$D$9),0)</f>
        <v>0</v>
      </c>
      <c r="X61" s="61">
        <f t="shared" si="5"/>
        <v>0</v>
      </c>
      <c r="Y61" s="61">
        <f>IFERROR(($N61-$O61)*'Emission factors'!$D$4,0)</f>
        <v>0</v>
      </c>
      <c r="AA61" s="84"/>
      <c r="AB61" s="84"/>
      <c r="AC61" s="68" t="str">
        <f>IFERROR(D61*INDEX('BEES Data'!$B$6:$AL$9,MATCH('LED Lighting Estimator'!AB61,'BEES Data'!$A$6:$A$9,0),MATCH('LED Lighting Estimator'!AA61,'BEES Data'!$B$5:$AL$5,0)),"-")</f>
        <v>-</v>
      </c>
      <c r="AD61" s="68">
        <f>IFERROR(AC61*INDEX('BEES Data'!$B$14:$AL$14,1,MATCH('LED Lighting Estimator'!AA61,'BEES Data'!$B$5:$AL$5,0)),0)</f>
        <v>0</v>
      </c>
      <c r="AE61" s="69">
        <f t="shared" si="12"/>
        <v>0</v>
      </c>
      <c r="AF61" s="69">
        <f>IFERROR(AD61*INDEX('BEES Data'!$B$15:$AL$15,1,MATCH('LED Lighting Estimator'!AA61,'BEES Data'!$B$5:$AL$5)),0)</f>
        <v>0</v>
      </c>
      <c r="AG61" s="93">
        <f t="shared" si="9"/>
        <v>0</v>
      </c>
    </row>
    <row r="62" spans="2:33" x14ac:dyDescent="0.3">
      <c r="B62" s="84"/>
      <c r="C62" s="31"/>
      <c r="D62" s="85"/>
      <c r="E62" s="31"/>
      <c r="F62" s="31"/>
      <c r="G62" s="31"/>
      <c r="H62" s="31"/>
      <c r="I62" s="31"/>
      <c r="J62" s="31"/>
      <c r="K62" s="31"/>
      <c r="L62" s="86">
        <f>D62*SUMIFS('Lighting Power Density'!$E$3:$E$50,'Lighting Power Density'!$A$3:$A$50,'LED Lighting Estimator'!E62,'Lighting Power Density'!$B$3:$B$50,'LED Lighting Estimator'!G62,'Lighting Power Density'!$C$3:$C$50,'LED Lighting Estimator'!H62)/1000</f>
        <v>0</v>
      </c>
      <c r="M62" s="86">
        <f>D62*SUMIFS('Lighting Power Density'!$E$3:$E$50,'Lighting Power Density'!$A$3:$A$50,'LED Lighting Estimator'!E62,'Lighting Power Density'!$B$3:$B$50,"LED",'Lighting Power Density'!$C$3:$C$50,'LED Lighting Estimator'!H62)/1000</f>
        <v>0</v>
      </c>
      <c r="N62" s="58">
        <f t="shared" si="2"/>
        <v>0</v>
      </c>
      <c r="O62" s="58">
        <f>IFERROR(I62*365.25*M62*J62/7,0)*(1-IF(K62="Yes",SUMIFS('Control Benefit'!$C$12:$C$29,'Control Benefit'!$A$12:$A$29,'LED Lighting Estimator'!$D$5,'Control Benefit'!$B$12:$B$29,'LED Lighting Estimator'!$F62),0))</f>
        <v>0</v>
      </c>
      <c r="P62" s="86" t="str">
        <f>IFERROR((I62*365.25)/SUMIFS('Lighting Power Density'!$F$3:$F$50,'Lighting Power Density'!$A$3:$A$50,'LED Lighting Estimator'!$E62,'Lighting Power Density'!$B$3:$B$50,'LED Lighting Estimator'!$G62,'Lighting Power Density'!$C$3:$C$50,'LED Lighting Estimator'!$H62),"-")</f>
        <v>-</v>
      </c>
      <c r="Q62" s="86" t="str">
        <f>IFERROR((I62*365.25)/SUMIFS('Lighting Power Density'!$F$3:$F$50,'Lighting Power Density'!$A$3:$A$50,'LED Lighting Estimator'!$E62,'Lighting Power Density'!$B$3:$B$50,"LED",'Lighting Power Density'!$C$3:$C$50,'LED Lighting Estimator'!$H62),"-")</f>
        <v>-</v>
      </c>
      <c r="R62" s="59">
        <f t="shared" si="10"/>
        <v>0</v>
      </c>
      <c r="S62" s="59">
        <f t="shared" si="11"/>
        <v>0</v>
      </c>
      <c r="T62" s="59">
        <f>M62*IFERROR(SUMIFS('LED Costs'!$C$4:$C$22,'LED Costs'!$A$4:$A$22,'LED Lighting Estimator'!$D$5,'LED Costs'!$B$4:$B$22,'LED Lighting Estimator'!$F62)*1000,0)-IF($K62="No",$D62*SUMIFS('Control Benefit'!$E$12:$E$29,'Control Benefit'!$A$12:$A$29,'LED Lighting Estimator'!$D$5,'Control Benefit'!$B$12:$B$29,'LED Lighting Estimator'!$F62),0)</f>
        <v>0</v>
      </c>
      <c r="U62" s="59">
        <f t="shared" si="4"/>
        <v>0</v>
      </c>
      <c r="V62" s="59">
        <f>IFERROR(D62*P62*(SUMIFS('Other Costs'!$F$2:$F$19,'Other Costs'!$A$2:$A$19,'LED Lighting Estimator'!G62,'Other Costs'!$C$2:$C$19,'LED Lighting Estimator'!H62)+$D$9),0)</f>
        <v>0</v>
      </c>
      <c r="W62" s="60">
        <f>IFERROR(D62*Q62*(M62*SUMIFS('LED Costs'!$C$4:$C$22,'LED Costs'!$A$4:$A$22,$D$5,'LED Costs'!$B$4:$B$22,'LED Lighting Estimator'!$F62)/1000+'LED Lighting Estimator'!$D$9),0)</f>
        <v>0</v>
      </c>
      <c r="X62" s="61">
        <f t="shared" si="5"/>
        <v>0</v>
      </c>
      <c r="Y62" s="61">
        <f>IFERROR(($N62-$O62)*'Emission factors'!$D$4,0)</f>
        <v>0</v>
      </c>
      <c r="AA62" s="84"/>
      <c r="AB62" s="84"/>
      <c r="AC62" s="68" t="str">
        <f>IFERROR(D62*INDEX('BEES Data'!$B$6:$AL$9,MATCH('LED Lighting Estimator'!AB62,'BEES Data'!$A$6:$A$9,0),MATCH('LED Lighting Estimator'!AA62,'BEES Data'!$B$5:$AL$5,0)),"-")</f>
        <v>-</v>
      </c>
      <c r="AD62" s="68">
        <f>IFERROR(AC62*INDEX('BEES Data'!$B$14:$AL$14,1,MATCH('LED Lighting Estimator'!AA62,'BEES Data'!$B$5:$AL$5,0)),0)</f>
        <v>0</v>
      </c>
      <c r="AE62" s="69">
        <f t="shared" si="12"/>
        <v>0</v>
      </c>
      <c r="AF62" s="69">
        <f>IFERROR(AD62*INDEX('BEES Data'!$B$15:$AL$15,1,MATCH('LED Lighting Estimator'!AA62,'BEES Data'!$B$5:$AL$5)),0)</f>
        <v>0</v>
      </c>
      <c r="AG62" s="93">
        <f t="shared" si="9"/>
        <v>0</v>
      </c>
    </row>
    <row r="63" spans="2:33" x14ac:dyDescent="0.3">
      <c r="B63" s="84"/>
      <c r="C63" s="31"/>
      <c r="D63" s="85"/>
      <c r="E63" s="31"/>
      <c r="F63" s="31"/>
      <c r="G63" s="31"/>
      <c r="H63" s="31"/>
      <c r="I63" s="31"/>
      <c r="J63" s="31"/>
      <c r="K63" s="31"/>
      <c r="L63" s="86">
        <f>D63*SUMIFS('Lighting Power Density'!$E$3:$E$50,'Lighting Power Density'!$A$3:$A$50,'LED Lighting Estimator'!E63,'Lighting Power Density'!$B$3:$B$50,'LED Lighting Estimator'!G63,'Lighting Power Density'!$C$3:$C$50,'LED Lighting Estimator'!H63)/1000</f>
        <v>0</v>
      </c>
      <c r="M63" s="86">
        <f>D63*SUMIFS('Lighting Power Density'!$E$3:$E$50,'Lighting Power Density'!$A$3:$A$50,'LED Lighting Estimator'!E63,'Lighting Power Density'!$B$3:$B$50,"LED",'Lighting Power Density'!$C$3:$C$50,'LED Lighting Estimator'!H63)/1000</f>
        <v>0</v>
      </c>
      <c r="N63" s="58">
        <f t="shared" si="2"/>
        <v>0</v>
      </c>
      <c r="O63" s="58">
        <f>IFERROR(I63*365.25*M63*J63/7,0)*(1-IF(K63="Yes",SUMIFS('Control Benefit'!$C$12:$C$29,'Control Benefit'!$A$12:$A$29,'LED Lighting Estimator'!$D$5,'Control Benefit'!$B$12:$B$29,'LED Lighting Estimator'!$F63),0))</f>
        <v>0</v>
      </c>
      <c r="P63" s="86" t="str">
        <f>IFERROR((I63*365.25)/SUMIFS('Lighting Power Density'!$F$3:$F$50,'Lighting Power Density'!$A$3:$A$50,'LED Lighting Estimator'!$E63,'Lighting Power Density'!$B$3:$B$50,'LED Lighting Estimator'!$G63,'Lighting Power Density'!$C$3:$C$50,'LED Lighting Estimator'!$H63),"-")</f>
        <v>-</v>
      </c>
      <c r="Q63" s="86" t="str">
        <f>IFERROR((I63*365.25)/SUMIFS('Lighting Power Density'!$F$3:$F$50,'Lighting Power Density'!$A$3:$A$50,'LED Lighting Estimator'!$E63,'Lighting Power Density'!$B$3:$B$50,"LED",'Lighting Power Density'!$C$3:$C$50,'LED Lighting Estimator'!$H63),"-")</f>
        <v>-</v>
      </c>
      <c r="R63" s="59">
        <f t="shared" si="10"/>
        <v>0</v>
      </c>
      <c r="S63" s="59">
        <f t="shared" si="11"/>
        <v>0</v>
      </c>
      <c r="T63" s="59">
        <f>M63*IFERROR(SUMIFS('LED Costs'!$C$4:$C$22,'LED Costs'!$A$4:$A$22,'LED Lighting Estimator'!$D$5,'LED Costs'!$B$4:$B$22,'LED Lighting Estimator'!$F63)*1000,0)-IF($K63="No",$D63*SUMIFS('Control Benefit'!$E$12:$E$29,'Control Benefit'!$A$12:$A$29,'LED Lighting Estimator'!$D$5,'Control Benefit'!$B$12:$B$29,'LED Lighting Estimator'!$F63),0)</f>
        <v>0</v>
      </c>
      <c r="U63" s="59">
        <f t="shared" si="4"/>
        <v>0</v>
      </c>
      <c r="V63" s="59">
        <f>IFERROR(D63*P63*(SUMIFS('Other Costs'!$F$2:$F$19,'Other Costs'!$A$2:$A$19,'LED Lighting Estimator'!G63,'Other Costs'!$C$2:$C$19,'LED Lighting Estimator'!H63)+$D$9),0)</f>
        <v>0</v>
      </c>
      <c r="W63" s="60">
        <f>IFERROR(D63*Q63*(M63*SUMIFS('LED Costs'!$C$4:$C$22,'LED Costs'!$A$4:$A$22,$D$5,'LED Costs'!$B$4:$B$22,'LED Lighting Estimator'!$F63)/1000+'LED Lighting Estimator'!$D$9),0)</f>
        <v>0</v>
      </c>
      <c r="X63" s="61">
        <f t="shared" si="5"/>
        <v>0</v>
      </c>
      <c r="Y63" s="61">
        <f>IFERROR(($N63-$O63)*'Emission factors'!$D$4,0)</f>
        <v>0</v>
      </c>
      <c r="AA63" s="84"/>
      <c r="AB63" s="84"/>
      <c r="AC63" s="68" t="str">
        <f>IFERROR(D63*INDEX('BEES Data'!$B$6:$AL$9,MATCH('LED Lighting Estimator'!AB63,'BEES Data'!$A$6:$A$9,0),MATCH('LED Lighting Estimator'!AA63,'BEES Data'!$B$5:$AL$5,0)),"-")</f>
        <v>-</v>
      </c>
      <c r="AD63" s="68">
        <f>IFERROR(AC63*INDEX('BEES Data'!$B$14:$AL$14,1,MATCH('LED Lighting Estimator'!AA63,'BEES Data'!$B$5:$AL$5,0)),0)</f>
        <v>0</v>
      </c>
      <c r="AE63" s="69">
        <f t="shared" si="12"/>
        <v>0</v>
      </c>
      <c r="AF63" s="69">
        <f>IFERROR(AD63*INDEX('BEES Data'!$B$15:$AL$15,1,MATCH('LED Lighting Estimator'!AA63,'BEES Data'!$B$5:$AL$5)),0)</f>
        <v>0</v>
      </c>
      <c r="AG63" s="93">
        <f t="shared" si="9"/>
        <v>0</v>
      </c>
    </row>
    <row r="64" spans="2:33" x14ac:dyDescent="0.3">
      <c r="B64" s="84"/>
      <c r="C64" s="31"/>
      <c r="D64" s="85"/>
      <c r="E64" s="31"/>
      <c r="F64" s="31"/>
      <c r="G64" s="31"/>
      <c r="H64" s="31"/>
      <c r="I64" s="31"/>
      <c r="J64" s="31"/>
      <c r="K64" s="31"/>
      <c r="L64" s="86">
        <f>D64*SUMIFS('Lighting Power Density'!$E$3:$E$50,'Lighting Power Density'!$A$3:$A$50,'LED Lighting Estimator'!E64,'Lighting Power Density'!$B$3:$B$50,'LED Lighting Estimator'!G64,'Lighting Power Density'!$C$3:$C$50,'LED Lighting Estimator'!H64)/1000</f>
        <v>0</v>
      </c>
      <c r="M64" s="86">
        <f>D64*SUMIFS('Lighting Power Density'!$E$3:$E$50,'Lighting Power Density'!$A$3:$A$50,'LED Lighting Estimator'!E64,'Lighting Power Density'!$B$3:$B$50,"LED",'Lighting Power Density'!$C$3:$C$50,'LED Lighting Estimator'!H64)/1000</f>
        <v>0</v>
      </c>
      <c r="N64" s="58">
        <f t="shared" si="2"/>
        <v>0</v>
      </c>
      <c r="O64" s="58">
        <f>IFERROR(I64*365.25*M64*J64/7,0)*(1-IF(K64="Yes",SUMIFS('Control Benefit'!$C$12:$C$29,'Control Benefit'!$A$12:$A$29,'LED Lighting Estimator'!$D$5,'Control Benefit'!$B$12:$B$29,'LED Lighting Estimator'!$F64),0))</f>
        <v>0</v>
      </c>
      <c r="P64" s="86" t="str">
        <f>IFERROR((I64*365.25)/SUMIFS('Lighting Power Density'!$F$3:$F$50,'Lighting Power Density'!$A$3:$A$50,'LED Lighting Estimator'!$E64,'Lighting Power Density'!$B$3:$B$50,'LED Lighting Estimator'!$G64,'Lighting Power Density'!$C$3:$C$50,'LED Lighting Estimator'!$H64),"-")</f>
        <v>-</v>
      </c>
      <c r="Q64" s="86" t="str">
        <f>IFERROR((I64*365.25)/SUMIFS('Lighting Power Density'!$F$3:$F$50,'Lighting Power Density'!$A$3:$A$50,'LED Lighting Estimator'!$E64,'Lighting Power Density'!$B$3:$B$50,"LED",'Lighting Power Density'!$C$3:$C$50,'LED Lighting Estimator'!$H64),"-")</f>
        <v>-</v>
      </c>
      <c r="R64" s="59">
        <f t="shared" si="10"/>
        <v>0</v>
      </c>
      <c r="S64" s="59">
        <f t="shared" si="11"/>
        <v>0</v>
      </c>
      <c r="T64" s="59">
        <f>M64*IFERROR(SUMIFS('LED Costs'!$C$4:$C$22,'LED Costs'!$A$4:$A$22,'LED Lighting Estimator'!$D$5,'LED Costs'!$B$4:$B$22,'LED Lighting Estimator'!$F64)*1000,0)-IF($K64="No",$D64*SUMIFS('Control Benefit'!$E$12:$E$29,'Control Benefit'!$A$12:$A$29,'LED Lighting Estimator'!$D$5,'Control Benefit'!$B$12:$B$29,'LED Lighting Estimator'!$F64),0)</f>
        <v>0</v>
      </c>
      <c r="U64" s="59">
        <f t="shared" si="4"/>
        <v>0</v>
      </c>
      <c r="V64" s="59">
        <f>IFERROR(D64*P64*(SUMIFS('Other Costs'!$F$2:$F$19,'Other Costs'!$A$2:$A$19,'LED Lighting Estimator'!G64,'Other Costs'!$C$2:$C$19,'LED Lighting Estimator'!H64)+$D$9),0)</f>
        <v>0</v>
      </c>
      <c r="W64" s="60">
        <f>IFERROR(D64*Q64*(M64*SUMIFS('LED Costs'!$C$4:$C$22,'LED Costs'!$A$4:$A$22,$D$5,'LED Costs'!$B$4:$B$22,'LED Lighting Estimator'!$F64)/1000+'LED Lighting Estimator'!$D$9),0)</f>
        <v>0</v>
      </c>
      <c r="X64" s="61">
        <f t="shared" si="5"/>
        <v>0</v>
      </c>
      <c r="Y64" s="61">
        <f>IFERROR(($N64-$O64)*'Emission factors'!$D$4,0)</f>
        <v>0</v>
      </c>
      <c r="AA64" s="84"/>
      <c r="AB64" s="84"/>
      <c r="AC64" s="68" t="str">
        <f>IFERROR(D64*INDEX('BEES Data'!$B$6:$AL$9,MATCH('LED Lighting Estimator'!AB64,'BEES Data'!$A$6:$A$9,0),MATCH('LED Lighting Estimator'!AA64,'BEES Data'!$B$5:$AL$5,0)),"-")</f>
        <v>-</v>
      </c>
      <c r="AD64" s="68">
        <f>IFERROR(AC64*INDEX('BEES Data'!$B$14:$AL$14,1,MATCH('LED Lighting Estimator'!AA64,'BEES Data'!$B$5:$AL$5,0)),0)</f>
        <v>0</v>
      </c>
      <c r="AE64" s="69">
        <f t="shared" si="12"/>
        <v>0</v>
      </c>
      <c r="AF64" s="69">
        <f>IFERROR(AD64*INDEX('BEES Data'!$B$15:$AL$15,1,MATCH('LED Lighting Estimator'!AA64,'BEES Data'!$B$5:$AL$5)),0)</f>
        <v>0</v>
      </c>
      <c r="AG64" s="93">
        <f t="shared" si="9"/>
        <v>0</v>
      </c>
    </row>
    <row r="65" spans="2:33" x14ac:dyDescent="0.3">
      <c r="B65" s="84"/>
      <c r="C65" s="31"/>
      <c r="D65" s="85"/>
      <c r="E65" s="31"/>
      <c r="F65" s="31"/>
      <c r="G65" s="31"/>
      <c r="H65" s="31"/>
      <c r="I65" s="31"/>
      <c r="J65" s="31"/>
      <c r="K65" s="31"/>
      <c r="L65" s="86">
        <f>D65*SUMIFS('Lighting Power Density'!$E$3:$E$50,'Lighting Power Density'!$A$3:$A$50,'LED Lighting Estimator'!E65,'Lighting Power Density'!$B$3:$B$50,'LED Lighting Estimator'!G65,'Lighting Power Density'!$C$3:$C$50,'LED Lighting Estimator'!H65)/1000</f>
        <v>0</v>
      </c>
      <c r="M65" s="86">
        <f>D65*SUMIFS('Lighting Power Density'!$E$3:$E$50,'Lighting Power Density'!$A$3:$A$50,'LED Lighting Estimator'!E65,'Lighting Power Density'!$B$3:$B$50,"LED",'Lighting Power Density'!$C$3:$C$50,'LED Lighting Estimator'!H65)/1000</f>
        <v>0</v>
      </c>
      <c r="N65" s="58">
        <f t="shared" si="2"/>
        <v>0</v>
      </c>
      <c r="O65" s="58">
        <f>IFERROR(I65*365.25*M65*J65/7,0)*(1-IF(K65="Yes",SUMIFS('Control Benefit'!$C$12:$C$29,'Control Benefit'!$A$12:$A$29,'LED Lighting Estimator'!$D$5,'Control Benefit'!$B$12:$B$29,'LED Lighting Estimator'!$F65),0))</f>
        <v>0</v>
      </c>
      <c r="P65" s="86" t="str">
        <f>IFERROR((I65*365.25)/SUMIFS('Lighting Power Density'!$F$3:$F$50,'Lighting Power Density'!$A$3:$A$50,'LED Lighting Estimator'!$E65,'Lighting Power Density'!$B$3:$B$50,'LED Lighting Estimator'!$G65,'Lighting Power Density'!$C$3:$C$50,'LED Lighting Estimator'!$H65),"-")</f>
        <v>-</v>
      </c>
      <c r="Q65" s="86" t="str">
        <f>IFERROR((I65*365.25)/SUMIFS('Lighting Power Density'!$F$3:$F$50,'Lighting Power Density'!$A$3:$A$50,'LED Lighting Estimator'!$E65,'Lighting Power Density'!$B$3:$B$50,"LED",'Lighting Power Density'!$C$3:$C$50,'LED Lighting Estimator'!$H65),"-")</f>
        <v>-</v>
      </c>
      <c r="R65" s="59">
        <f t="shared" si="10"/>
        <v>0</v>
      </c>
      <c r="S65" s="59">
        <f t="shared" si="11"/>
        <v>0</v>
      </c>
      <c r="T65" s="59">
        <f>M65*IFERROR(SUMIFS('LED Costs'!$C$4:$C$22,'LED Costs'!$A$4:$A$22,'LED Lighting Estimator'!$D$5,'LED Costs'!$B$4:$B$22,'LED Lighting Estimator'!$F65)*1000,0)-IF($K65="No",$D65*SUMIFS('Control Benefit'!$E$12:$E$29,'Control Benefit'!$A$12:$A$29,'LED Lighting Estimator'!$D$5,'Control Benefit'!$B$12:$B$29,'LED Lighting Estimator'!$F65),0)</f>
        <v>0</v>
      </c>
      <c r="U65" s="59">
        <f t="shared" si="4"/>
        <v>0</v>
      </c>
      <c r="V65" s="59">
        <f>IFERROR(D65*P65*(SUMIFS('Other Costs'!$F$2:$F$19,'Other Costs'!$A$2:$A$19,'LED Lighting Estimator'!G65,'Other Costs'!$C$2:$C$19,'LED Lighting Estimator'!H65)+$D$9),0)</f>
        <v>0</v>
      </c>
      <c r="W65" s="60">
        <f>IFERROR(D65*Q65*(M65*SUMIFS('LED Costs'!$C$4:$C$22,'LED Costs'!$A$4:$A$22,$D$5,'LED Costs'!$B$4:$B$22,'LED Lighting Estimator'!$F65)/1000+'LED Lighting Estimator'!$D$9),0)</f>
        <v>0</v>
      </c>
      <c r="X65" s="61">
        <f t="shared" si="5"/>
        <v>0</v>
      </c>
      <c r="Y65" s="61">
        <f>IFERROR(($N65-$O65)*'Emission factors'!$D$4,0)</f>
        <v>0</v>
      </c>
      <c r="AA65" s="84"/>
      <c r="AB65" s="84"/>
      <c r="AC65" s="68" t="str">
        <f>IFERROR(D65*INDEX('BEES Data'!$B$6:$AL$9,MATCH('LED Lighting Estimator'!AB65,'BEES Data'!$A$6:$A$9,0),MATCH('LED Lighting Estimator'!AA65,'BEES Data'!$B$5:$AL$5,0)),"-")</f>
        <v>-</v>
      </c>
      <c r="AD65" s="68">
        <f>IFERROR(AC65*INDEX('BEES Data'!$B$14:$AL$14,1,MATCH('LED Lighting Estimator'!AA65,'BEES Data'!$B$5:$AL$5,0)),0)</f>
        <v>0</v>
      </c>
      <c r="AE65" s="69">
        <f t="shared" si="12"/>
        <v>0</v>
      </c>
      <c r="AF65" s="69">
        <f>IFERROR(AD65*INDEX('BEES Data'!$B$15:$AL$15,1,MATCH('LED Lighting Estimator'!AA65,'BEES Data'!$B$5:$AL$5)),0)</f>
        <v>0</v>
      </c>
      <c r="AG65" s="93">
        <f t="shared" si="9"/>
        <v>0</v>
      </c>
    </row>
    <row r="66" spans="2:33" x14ac:dyDescent="0.3">
      <c r="B66" s="84"/>
      <c r="C66" s="31"/>
      <c r="D66" s="85"/>
      <c r="E66" s="31"/>
      <c r="F66" s="31"/>
      <c r="G66" s="31"/>
      <c r="H66" s="31"/>
      <c r="I66" s="31"/>
      <c r="J66" s="31"/>
      <c r="K66" s="31"/>
      <c r="L66" s="86">
        <f>D66*SUMIFS('Lighting Power Density'!$E$3:$E$50,'Lighting Power Density'!$A$3:$A$50,'LED Lighting Estimator'!E66,'Lighting Power Density'!$B$3:$B$50,'LED Lighting Estimator'!G66,'Lighting Power Density'!$C$3:$C$50,'LED Lighting Estimator'!H66)/1000</f>
        <v>0</v>
      </c>
      <c r="M66" s="86">
        <f>D66*SUMIFS('Lighting Power Density'!$E$3:$E$50,'Lighting Power Density'!$A$3:$A$50,'LED Lighting Estimator'!E66,'Lighting Power Density'!$B$3:$B$50,"LED",'Lighting Power Density'!$C$3:$C$50,'LED Lighting Estimator'!H66)/1000</f>
        <v>0</v>
      </c>
      <c r="N66" s="58">
        <f t="shared" si="2"/>
        <v>0</v>
      </c>
      <c r="O66" s="58">
        <f>IFERROR(I66*365.25*M66*J66/7,0)*(1-IF(K66="Yes",SUMIFS('Control Benefit'!$C$12:$C$29,'Control Benefit'!$A$12:$A$29,'LED Lighting Estimator'!$D$5,'Control Benefit'!$B$12:$B$29,'LED Lighting Estimator'!$F66),0))</f>
        <v>0</v>
      </c>
      <c r="P66" s="86" t="str">
        <f>IFERROR((I66*365.25)/SUMIFS('Lighting Power Density'!$F$3:$F$50,'Lighting Power Density'!$A$3:$A$50,'LED Lighting Estimator'!$E66,'Lighting Power Density'!$B$3:$B$50,'LED Lighting Estimator'!$G66,'Lighting Power Density'!$C$3:$C$50,'LED Lighting Estimator'!$H66),"-")</f>
        <v>-</v>
      </c>
      <c r="Q66" s="86" t="str">
        <f>IFERROR((I66*365.25)/SUMIFS('Lighting Power Density'!$F$3:$F$50,'Lighting Power Density'!$A$3:$A$50,'LED Lighting Estimator'!$E66,'Lighting Power Density'!$B$3:$B$50,"LED",'Lighting Power Density'!$C$3:$C$50,'LED Lighting Estimator'!$H66),"-")</f>
        <v>-</v>
      </c>
      <c r="R66" s="59">
        <f t="shared" si="10"/>
        <v>0</v>
      </c>
      <c r="S66" s="59">
        <f t="shared" si="11"/>
        <v>0</v>
      </c>
      <c r="T66" s="59">
        <f>M66*IFERROR(SUMIFS('LED Costs'!$C$4:$C$22,'LED Costs'!$A$4:$A$22,'LED Lighting Estimator'!$D$5,'LED Costs'!$B$4:$B$22,'LED Lighting Estimator'!$F66)*1000,0)-IF($K66="No",$D66*SUMIFS('Control Benefit'!$E$12:$E$29,'Control Benefit'!$A$12:$A$29,'LED Lighting Estimator'!$D$5,'Control Benefit'!$B$12:$B$29,'LED Lighting Estimator'!$F66),0)</f>
        <v>0</v>
      </c>
      <c r="U66" s="59">
        <f t="shared" si="4"/>
        <v>0</v>
      </c>
      <c r="V66" s="59">
        <f>IFERROR(D66*P66*(SUMIFS('Other Costs'!$F$2:$F$19,'Other Costs'!$A$2:$A$19,'LED Lighting Estimator'!G66,'Other Costs'!$C$2:$C$19,'LED Lighting Estimator'!H66)+$D$9),0)</f>
        <v>0</v>
      </c>
      <c r="W66" s="60">
        <f>IFERROR(D66*Q66*(M66*SUMIFS('LED Costs'!$C$4:$C$22,'LED Costs'!$A$4:$A$22,$D$5,'LED Costs'!$B$4:$B$22,'LED Lighting Estimator'!$F66)/1000+'LED Lighting Estimator'!$D$9),0)</f>
        <v>0</v>
      </c>
      <c r="X66" s="61">
        <f t="shared" si="5"/>
        <v>0</v>
      </c>
      <c r="Y66" s="61">
        <f>IFERROR(($N66-$O66)*'Emission factors'!$D$4,0)</f>
        <v>0</v>
      </c>
      <c r="AA66" s="84"/>
      <c r="AB66" s="84"/>
      <c r="AC66" s="68" t="str">
        <f>IFERROR(D66*INDEX('BEES Data'!$B$6:$AL$9,MATCH('LED Lighting Estimator'!AB66,'BEES Data'!$A$6:$A$9,0),MATCH('LED Lighting Estimator'!AA66,'BEES Data'!$B$5:$AL$5,0)),"-")</f>
        <v>-</v>
      </c>
      <c r="AD66" s="68">
        <f>IFERROR(AC66*INDEX('BEES Data'!$B$14:$AL$14,1,MATCH('LED Lighting Estimator'!AA66,'BEES Data'!$B$5:$AL$5,0)),0)</f>
        <v>0</v>
      </c>
      <c r="AE66" s="69">
        <f t="shared" si="12"/>
        <v>0</v>
      </c>
      <c r="AF66" s="69">
        <f>IFERROR(AD66*INDEX('BEES Data'!$B$15:$AL$15,1,MATCH('LED Lighting Estimator'!AA66,'BEES Data'!$B$5:$AL$5)),0)</f>
        <v>0</v>
      </c>
      <c r="AG66" s="93">
        <f t="shared" si="9"/>
        <v>0</v>
      </c>
    </row>
    <row r="67" spans="2:33" x14ac:dyDescent="0.3">
      <c r="B67" s="84"/>
      <c r="C67" s="31"/>
      <c r="D67" s="85"/>
      <c r="E67" s="31"/>
      <c r="F67" s="31"/>
      <c r="G67" s="31"/>
      <c r="H67" s="31"/>
      <c r="I67" s="31"/>
      <c r="J67" s="31"/>
      <c r="K67" s="31"/>
      <c r="L67" s="86">
        <f>D67*SUMIFS('Lighting Power Density'!$E$3:$E$50,'Lighting Power Density'!$A$3:$A$50,'LED Lighting Estimator'!E67,'Lighting Power Density'!$B$3:$B$50,'LED Lighting Estimator'!G67,'Lighting Power Density'!$C$3:$C$50,'LED Lighting Estimator'!H67)/1000</f>
        <v>0</v>
      </c>
      <c r="M67" s="86">
        <f>D67*SUMIFS('Lighting Power Density'!$E$3:$E$50,'Lighting Power Density'!$A$3:$A$50,'LED Lighting Estimator'!E67,'Lighting Power Density'!$B$3:$B$50,"LED",'Lighting Power Density'!$C$3:$C$50,'LED Lighting Estimator'!H67)/1000</f>
        <v>0</v>
      </c>
      <c r="N67" s="58">
        <f t="shared" si="2"/>
        <v>0</v>
      </c>
      <c r="O67" s="58">
        <f>IFERROR(I67*365.25*M67*J67/7,0)*(1-IF(K67="Yes",SUMIFS('Control Benefit'!$C$12:$C$29,'Control Benefit'!$A$12:$A$29,'LED Lighting Estimator'!$D$5,'Control Benefit'!$B$12:$B$29,'LED Lighting Estimator'!$F67),0))</f>
        <v>0</v>
      </c>
      <c r="P67" s="86" t="str">
        <f>IFERROR((I67*365.25)/SUMIFS('Lighting Power Density'!$F$3:$F$50,'Lighting Power Density'!$A$3:$A$50,'LED Lighting Estimator'!$E67,'Lighting Power Density'!$B$3:$B$50,'LED Lighting Estimator'!$G67,'Lighting Power Density'!$C$3:$C$50,'LED Lighting Estimator'!$H67),"-")</f>
        <v>-</v>
      </c>
      <c r="Q67" s="86" t="str">
        <f>IFERROR((I67*365.25)/SUMIFS('Lighting Power Density'!$F$3:$F$50,'Lighting Power Density'!$A$3:$A$50,'LED Lighting Estimator'!$E67,'Lighting Power Density'!$B$3:$B$50,"LED",'Lighting Power Density'!$C$3:$C$50,'LED Lighting Estimator'!$H67),"-")</f>
        <v>-</v>
      </c>
      <c r="R67" s="59">
        <f t="shared" si="10"/>
        <v>0</v>
      </c>
      <c r="S67" s="59">
        <f t="shared" si="11"/>
        <v>0</v>
      </c>
      <c r="T67" s="59">
        <f>M67*IFERROR(SUMIFS('LED Costs'!$C$4:$C$22,'LED Costs'!$A$4:$A$22,'LED Lighting Estimator'!$D$5,'LED Costs'!$B$4:$B$22,'LED Lighting Estimator'!$F67)*1000,0)-IF($K67="No",$D67*SUMIFS('Control Benefit'!$E$12:$E$29,'Control Benefit'!$A$12:$A$29,'LED Lighting Estimator'!$D$5,'Control Benefit'!$B$12:$B$29,'LED Lighting Estimator'!$F67),0)</f>
        <v>0</v>
      </c>
      <c r="U67" s="59">
        <f t="shared" si="4"/>
        <v>0</v>
      </c>
      <c r="V67" s="59">
        <f>IFERROR(D67*P67*(SUMIFS('Other Costs'!$F$2:$F$19,'Other Costs'!$A$2:$A$19,'LED Lighting Estimator'!G67,'Other Costs'!$C$2:$C$19,'LED Lighting Estimator'!H67)+$D$9),0)</f>
        <v>0</v>
      </c>
      <c r="W67" s="60">
        <f>IFERROR(D67*Q67*(M67*SUMIFS('LED Costs'!$C$4:$C$22,'LED Costs'!$A$4:$A$22,$D$5,'LED Costs'!$B$4:$B$22,'LED Lighting Estimator'!$F67)/1000+'LED Lighting Estimator'!$D$9),0)</f>
        <v>0</v>
      </c>
      <c r="X67" s="61">
        <f t="shared" si="5"/>
        <v>0</v>
      </c>
      <c r="Y67" s="61">
        <f>IFERROR(($N67-$O67)*'Emission factors'!$D$4,0)</f>
        <v>0</v>
      </c>
      <c r="AA67" s="84"/>
      <c r="AB67" s="84"/>
      <c r="AC67" s="68" t="str">
        <f>IFERROR(D67*INDEX('BEES Data'!$B$6:$AL$9,MATCH('LED Lighting Estimator'!AB67,'BEES Data'!$A$6:$A$9,0),MATCH('LED Lighting Estimator'!AA67,'BEES Data'!$B$5:$AL$5,0)),"-")</f>
        <v>-</v>
      </c>
      <c r="AD67" s="68">
        <f>IFERROR(AC67*INDEX('BEES Data'!$B$14:$AL$14,1,MATCH('LED Lighting Estimator'!AA67,'BEES Data'!$B$5:$AL$5,0)),0)</f>
        <v>0</v>
      </c>
      <c r="AE67" s="69">
        <f t="shared" si="12"/>
        <v>0</v>
      </c>
      <c r="AF67" s="69">
        <f>IFERROR(AD67*INDEX('BEES Data'!$B$15:$AL$15,1,MATCH('LED Lighting Estimator'!AA67,'BEES Data'!$B$5:$AL$5)),0)</f>
        <v>0</v>
      </c>
      <c r="AG67" s="93">
        <f t="shared" si="9"/>
        <v>0</v>
      </c>
    </row>
    <row r="68" spans="2:33" x14ac:dyDescent="0.3">
      <c r="B68" s="84"/>
      <c r="C68" s="31"/>
      <c r="D68" s="85"/>
      <c r="E68" s="31"/>
      <c r="F68" s="31"/>
      <c r="G68" s="31"/>
      <c r="H68" s="31"/>
      <c r="I68" s="31"/>
      <c r="J68" s="31"/>
      <c r="K68" s="31"/>
      <c r="L68" s="86">
        <f>D68*SUMIFS('Lighting Power Density'!$E$3:$E$50,'Lighting Power Density'!$A$3:$A$50,'LED Lighting Estimator'!E68,'Lighting Power Density'!$B$3:$B$50,'LED Lighting Estimator'!G68,'Lighting Power Density'!$C$3:$C$50,'LED Lighting Estimator'!H68)/1000</f>
        <v>0</v>
      </c>
      <c r="M68" s="86">
        <f>D68*SUMIFS('Lighting Power Density'!$E$3:$E$50,'Lighting Power Density'!$A$3:$A$50,'LED Lighting Estimator'!E68,'Lighting Power Density'!$B$3:$B$50,"LED",'Lighting Power Density'!$C$3:$C$50,'LED Lighting Estimator'!H68)/1000</f>
        <v>0</v>
      </c>
      <c r="N68" s="58">
        <f t="shared" si="2"/>
        <v>0</v>
      </c>
      <c r="O68" s="58">
        <f>IFERROR(I68*365.25*M68*J68/7,0)*(1-IF(K68="Yes",SUMIFS('Control Benefit'!$C$12:$C$29,'Control Benefit'!$A$12:$A$29,'LED Lighting Estimator'!$D$5,'Control Benefit'!$B$12:$B$29,'LED Lighting Estimator'!$F68),0))</f>
        <v>0</v>
      </c>
      <c r="P68" s="86" t="str">
        <f>IFERROR((I68*365.25)/SUMIFS('Lighting Power Density'!$F$3:$F$50,'Lighting Power Density'!$A$3:$A$50,'LED Lighting Estimator'!$E68,'Lighting Power Density'!$B$3:$B$50,'LED Lighting Estimator'!$G68,'Lighting Power Density'!$C$3:$C$50,'LED Lighting Estimator'!$H68),"-")</f>
        <v>-</v>
      </c>
      <c r="Q68" s="86" t="str">
        <f>IFERROR((I68*365.25)/SUMIFS('Lighting Power Density'!$F$3:$F$50,'Lighting Power Density'!$A$3:$A$50,'LED Lighting Estimator'!$E68,'Lighting Power Density'!$B$3:$B$50,"LED",'Lighting Power Density'!$C$3:$C$50,'LED Lighting Estimator'!$H68),"-")</f>
        <v>-</v>
      </c>
      <c r="R68" s="59">
        <f t="shared" si="10"/>
        <v>0</v>
      </c>
      <c r="S68" s="59">
        <f t="shared" si="11"/>
        <v>0</v>
      </c>
      <c r="T68" s="59">
        <f>M68*IFERROR(SUMIFS('LED Costs'!$C$4:$C$22,'LED Costs'!$A$4:$A$22,'LED Lighting Estimator'!$D$5,'LED Costs'!$B$4:$B$22,'LED Lighting Estimator'!$F68)*1000,0)-IF($K68="No",$D68*SUMIFS('Control Benefit'!$E$12:$E$29,'Control Benefit'!$A$12:$A$29,'LED Lighting Estimator'!$D$5,'Control Benefit'!$B$12:$B$29,'LED Lighting Estimator'!$F68),0)</f>
        <v>0</v>
      </c>
      <c r="U68" s="59">
        <f t="shared" si="4"/>
        <v>0</v>
      </c>
      <c r="V68" s="59">
        <f>IFERROR(D68*P68*(SUMIFS('Other Costs'!$F$2:$F$19,'Other Costs'!$A$2:$A$19,'LED Lighting Estimator'!G68,'Other Costs'!$C$2:$C$19,'LED Lighting Estimator'!H68)+$D$9),0)</f>
        <v>0</v>
      </c>
      <c r="W68" s="60">
        <f>IFERROR(D68*Q68*(M68*SUMIFS('LED Costs'!$C$4:$C$22,'LED Costs'!$A$4:$A$22,$D$5,'LED Costs'!$B$4:$B$22,'LED Lighting Estimator'!$F68)/1000+'LED Lighting Estimator'!$D$9),0)</f>
        <v>0</v>
      </c>
      <c r="X68" s="61">
        <f t="shared" si="5"/>
        <v>0</v>
      </c>
      <c r="Y68" s="61">
        <f>IFERROR(($N68-$O68)*'Emission factors'!$D$4,0)</f>
        <v>0</v>
      </c>
      <c r="AA68" s="84"/>
      <c r="AB68" s="84"/>
      <c r="AC68" s="68" t="str">
        <f>IFERROR(D68*INDEX('BEES Data'!$B$6:$AL$9,MATCH('LED Lighting Estimator'!AB68,'BEES Data'!$A$6:$A$9,0),MATCH('LED Lighting Estimator'!AA68,'BEES Data'!$B$5:$AL$5,0)),"-")</f>
        <v>-</v>
      </c>
      <c r="AD68" s="68">
        <f>IFERROR(AC68*INDEX('BEES Data'!$B$14:$AL$14,1,MATCH('LED Lighting Estimator'!AA68,'BEES Data'!$B$5:$AL$5,0)),0)</f>
        <v>0</v>
      </c>
      <c r="AE68" s="69">
        <f t="shared" si="12"/>
        <v>0</v>
      </c>
      <c r="AF68" s="69">
        <f>IFERROR(AD68*INDEX('BEES Data'!$B$15:$AL$15,1,MATCH('LED Lighting Estimator'!AA68,'BEES Data'!$B$5:$AL$5)),0)</f>
        <v>0</v>
      </c>
      <c r="AG68" s="93">
        <f t="shared" si="9"/>
        <v>0</v>
      </c>
    </row>
    <row r="69" spans="2:33" x14ac:dyDescent="0.3">
      <c r="B69" s="84"/>
      <c r="C69" s="31"/>
      <c r="D69" s="85"/>
      <c r="E69" s="31"/>
      <c r="F69" s="31"/>
      <c r="G69" s="31"/>
      <c r="H69" s="31"/>
      <c r="I69" s="31"/>
      <c r="J69" s="31"/>
      <c r="K69" s="31"/>
      <c r="L69" s="86">
        <f>D69*SUMIFS('Lighting Power Density'!$E$3:$E$50,'Lighting Power Density'!$A$3:$A$50,'LED Lighting Estimator'!E69,'Lighting Power Density'!$B$3:$B$50,'LED Lighting Estimator'!G69,'Lighting Power Density'!$C$3:$C$50,'LED Lighting Estimator'!H69)/1000</f>
        <v>0</v>
      </c>
      <c r="M69" s="86">
        <f>D69*SUMIFS('Lighting Power Density'!$E$3:$E$50,'Lighting Power Density'!$A$3:$A$50,'LED Lighting Estimator'!E69,'Lighting Power Density'!$B$3:$B$50,"LED",'Lighting Power Density'!$C$3:$C$50,'LED Lighting Estimator'!H69)/1000</f>
        <v>0</v>
      </c>
      <c r="N69" s="58">
        <f t="shared" si="2"/>
        <v>0</v>
      </c>
      <c r="O69" s="58">
        <f>IFERROR(I69*365.25*M69*J69/7,0)*(1-IF(K69="Yes",SUMIFS('Control Benefit'!$C$12:$C$29,'Control Benefit'!$A$12:$A$29,'LED Lighting Estimator'!$D$5,'Control Benefit'!$B$12:$B$29,'LED Lighting Estimator'!$F69),0))</f>
        <v>0</v>
      </c>
      <c r="P69" s="86" t="str">
        <f>IFERROR((I69*365.25)/SUMIFS('Lighting Power Density'!$F$3:$F$50,'Lighting Power Density'!$A$3:$A$50,'LED Lighting Estimator'!$E69,'Lighting Power Density'!$B$3:$B$50,'LED Lighting Estimator'!$G69,'Lighting Power Density'!$C$3:$C$50,'LED Lighting Estimator'!$H69),"-")</f>
        <v>-</v>
      </c>
      <c r="Q69" s="86" t="str">
        <f>IFERROR((I69*365.25)/SUMIFS('Lighting Power Density'!$F$3:$F$50,'Lighting Power Density'!$A$3:$A$50,'LED Lighting Estimator'!$E69,'Lighting Power Density'!$B$3:$B$50,"LED",'Lighting Power Density'!$C$3:$C$50,'LED Lighting Estimator'!$H69),"-")</f>
        <v>-</v>
      </c>
      <c r="R69" s="59">
        <f t="shared" si="10"/>
        <v>0</v>
      </c>
      <c r="S69" s="59">
        <f t="shared" si="11"/>
        <v>0</v>
      </c>
      <c r="T69" s="59">
        <f>M69*IFERROR(SUMIFS('LED Costs'!$C$4:$C$22,'LED Costs'!$A$4:$A$22,'LED Lighting Estimator'!$D$5,'LED Costs'!$B$4:$B$22,'LED Lighting Estimator'!$F69)*1000,0)-IF($K69="No",$D69*SUMIFS('Control Benefit'!$E$12:$E$29,'Control Benefit'!$A$12:$A$29,'LED Lighting Estimator'!$D$5,'Control Benefit'!$B$12:$B$29,'LED Lighting Estimator'!$F69),0)</f>
        <v>0</v>
      </c>
      <c r="U69" s="59">
        <f t="shared" si="4"/>
        <v>0</v>
      </c>
      <c r="V69" s="59">
        <f>IFERROR(D69*P69*(SUMIFS('Other Costs'!$F$2:$F$19,'Other Costs'!$A$2:$A$19,'LED Lighting Estimator'!G69,'Other Costs'!$C$2:$C$19,'LED Lighting Estimator'!H69)+$D$9),0)</f>
        <v>0</v>
      </c>
      <c r="W69" s="60">
        <f>IFERROR(D69*Q69*(M69*SUMIFS('LED Costs'!$C$4:$C$22,'LED Costs'!$A$4:$A$22,$D$5,'LED Costs'!$B$4:$B$22,'LED Lighting Estimator'!$F69)/1000+'LED Lighting Estimator'!$D$9),0)</f>
        <v>0</v>
      </c>
      <c r="X69" s="61">
        <f t="shared" si="5"/>
        <v>0</v>
      </c>
      <c r="Y69" s="61">
        <f>IFERROR(($N69-$O69)*'Emission factors'!$D$4,0)</f>
        <v>0</v>
      </c>
      <c r="AA69" s="84"/>
      <c r="AB69" s="84"/>
      <c r="AC69" s="68" t="str">
        <f>IFERROR(D69*INDEX('BEES Data'!$B$6:$AL$9,MATCH('LED Lighting Estimator'!AB69,'BEES Data'!$A$6:$A$9,0),MATCH('LED Lighting Estimator'!AA69,'BEES Data'!$B$5:$AL$5,0)),"-")</f>
        <v>-</v>
      </c>
      <c r="AD69" s="68">
        <f>IFERROR(AC69*INDEX('BEES Data'!$B$14:$AL$14,1,MATCH('LED Lighting Estimator'!AA69,'BEES Data'!$B$5:$AL$5,0)),0)</f>
        <v>0</v>
      </c>
      <c r="AE69" s="69">
        <f t="shared" si="12"/>
        <v>0</v>
      </c>
      <c r="AF69" s="69">
        <f>IFERROR(AD69*INDEX('BEES Data'!$B$15:$AL$15,1,MATCH('LED Lighting Estimator'!AA69,'BEES Data'!$B$5:$AL$5)),0)</f>
        <v>0</v>
      </c>
      <c r="AG69" s="93">
        <f t="shared" si="9"/>
        <v>0</v>
      </c>
    </row>
    <row r="70" spans="2:33" x14ac:dyDescent="0.3">
      <c r="B70" s="84"/>
      <c r="C70" s="31"/>
      <c r="D70" s="85"/>
      <c r="E70" s="31"/>
      <c r="F70" s="31"/>
      <c r="G70" s="31"/>
      <c r="H70" s="31"/>
      <c r="I70" s="31"/>
      <c r="J70" s="31"/>
      <c r="K70" s="31"/>
      <c r="L70" s="86">
        <f>D70*SUMIFS('Lighting Power Density'!$E$3:$E$50,'Lighting Power Density'!$A$3:$A$50,'LED Lighting Estimator'!E70,'Lighting Power Density'!$B$3:$B$50,'LED Lighting Estimator'!G70,'Lighting Power Density'!$C$3:$C$50,'LED Lighting Estimator'!H70)/1000</f>
        <v>0</v>
      </c>
      <c r="M70" s="86">
        <f>D70*SUMIFS('Lighting Power Density'!$E$3:$E$50,'Lighting Power Density'!$A$3:$A$50,'LED Lighting Estimator'!E70,'Lighting Power Density'!$B$3:$B$50,"LED",'Lighting Power Density'!$C$3:$C$50,'LED Lighting Estimator'!H70)/1000</f>
        <v>0</v>
      </c>
      <c r="N70" s="58">
        <f t="shared" si="2"/>
        <v>0</v>
      </c>
      <c r="O70" s="58">
        <f>IFERROR(I70*365.25*M70*J70/7,0)*(1-IF(K70="Yes",SUMIFS('Control Benefit'!$C$12:$C$29,'Control Benefit'!$A$12:$A$29,'LED Lighting Estimator'!$D$5,'Control Benefit'!$B$12:$B$29,'LED Lighting Estimator'!$F70),0))</f>
        <v>0</v>
      </c>
      <c r="P70" s="86" t="str">
        <f>IFERROR((I70*365.25)/SUMIFS('Lighting Power Density'!$F$3:$F$50,'Lighting Power Density'!$A$3:$A$50,'LED Lighting Estimator'!$E70,'Lighting Power Density'!$B$3:$B$50,'LED Lighting Estimator'!$G70,'Lighting Power Density'!$C$3:$C$50,'LED Lighting Estimator'!$H70),"-")</f>
        <v>-</v>
      </c>
      <c r="Q70" s="86" t="str">
        <f>IFERROR((I70*365.25)/SUMIFS('Lighting Power Density'!$F$3:$F$50,'Lighting Power Density'!$A$3:$A$50,'LED Lighting Estimator'!$E70,'Lighting Power Density'!$B$3:$B$50,"LED",'Lighting Power Density'!$C$3:$C$50,'LED Lighting Estimator'!$H70),"-")</f>
        <v>-</v>
      </c>
      <c r="R70" s="59">
        <f t="shared" si="10"/>
        <v>0</v>
      </c>
      <c r="S70" s="59">
        <f t="shared" si="11"/>
        <v>0</v>
      </c>
      <c r="T70" s="59">
        <f>M70*IFERROR(SUMIFS('LED Costs'!$C$4:$C$22,'LED Costs'!$A$4:$A$22,'LED Lighting Estimator'!$D$5,'LED Costs'!$B$4:$B$22,'LED Lighting Estimator'!$F70)*1000,0)-IF($K70="No",$D70*SUMIFS('Control Benefit'!$E$12:$E$29,'Control Benefit'!$A$12:$A$29,'LED Lighting Estimator'!$D$5,'Control Benefit'!$B$12:$B$29,'LED Lighting Estimator'!$F70),0)</f>
        <v>0</v>
      </c>
      <c r="U70" s="59">
        <f t="shared" si="4"/>
        <v>0</v>
      </c>
      <c r="V70" s="59">
        <f>IFERROR(D70*P70*(SUMIFS('Other Costs'!$F$2:$F$19,'Other Costs'!$A$2:$A$19,'LED Lighting Estimator'!G70,'Other Costs'!$C$2:$C$19,'LED Lighting Estimator'!H70)+$D$9),0)</f>
        <v>0</v>
      </c>
      <c r="W70" s="60">
        <f>IFERROR(D70*Q70*(M70*SUMIFS('LED Costs'!$C$4:$C$22,'LED Costs'!$A$4:$A$22,$D$5,'LED Costs'!$B$4:$B$22,'LED Lighting Estimator'!$F70)/1000+'LED Lighting Estimator'!$D$9),0)</f>
        <v>0</v>
      </c>
      <c r="X70" s="61">
        <f t="shared" si="5"/>
        <v>0</v>
      </c>
      <c r="Y70" s="61">
        <f>IFERROR(($N70-$O70)*'Emission factors'!$D$4,0)</f>
        <v>0</v>
      </c>
      <c r="AA70" s="84"/>
      <c r="AB70" s="84"/>
      <c r="AC70" s="68" t="str">
        <f>IFERROR(D70*INDEX('BEES Data'!$B$6:$AL$9,MATCH('LED Lighting Estimator'!AB70,'BEES Data'!$A$6:$A$9,0),MATCH('LED Lighting Estimator'!AA70,'BEES Data'!$B$5:$AL$5,0)),"-")</f>
        <v>-</v>
      </c>
      <c r="AD70" s="68">
        <f>IFERROR(AC70*INDEX('BEES Data'!$B$14:$AL$14,1,MATCH('LED Lighting Estimator'!AA70,'BEES Data'!$B$5:$AL$5,0)),0)</f>
        <v>0</v>
      </c>
      <c r="AE70" s="69">
        <f t="shared" si="12"/>
        <v>0</v>
      </c>
      <c r="AF70" s="69">
        <f>IFERROR(AD70*INDEX('BEES Data'!$B$15:$AL$15,1,MATCH('LED Lighting Estimator'!AA70,'BEES Data'!$B$5:$AL$5)),0)</f>
        <v>0</v>
      </c>
      <c r="AG70" s="93">
        <f t="shared" si="9"/>
        <v>0</v>
      </c>
    </row>
    <row r="71" spans="2:33" x14ac:dyDescent="0.3">
      <c r="B71" s="84"/>
      <c r="C71" s="31"/>
      <c r="D71" s="85"/>
      <c r="E71" s="31"/>
      <c r="F71" s="31"/>
      <c r="G71" s="31"/>
      <c r="H71" s="31"/>
      <c r="I71" s="31"/>
      <c r="J71" s="31"/>
      <c r="K71" s="31"/>
      <c r="L71" s="86">
        <f>D71*SUMIFS('Lighting Power Density'!$E$3:$E$50,'Lighting Power Density'!$A$3:$A$50,'LED Lighting Estimator'!E71,'Lighting Power Density'!$B$3:$B$50,'LED Lighting Estimator'!G71,'Lighting Power Density'!$C$3:$C$50,'LED Lighting Estimator'!H71)/1000</f>
        <v>0</v>
      </c>
      <c r="M71" s="86">
        <f>D71*SUMIFS('Lighting Power Density'!$E$3:$E$50,'Lighting Power Density'!$A$3:$A$50,'LED Lighting Estimator'!E71,'Lighting Power Density'!$B$3:$B$50,"LED",'Lighting Power Density'!$C$3:$C$50,'LED Lighting Estimator'!H71)/1000</f>
        <v>0</v>
      </c>
      <c r="N71" s="58">
        <f t="shared" si="2"/>
        <v>0</v>
      </c>
      <c r="O71" s="58">
        <f>IFERROR(I71*365.25*M71*J71/7,0)*(1-IF(K71="Yes",SUMIFS('Control Benefit'!$C$12:$C$29,'Control Benefit'!$A$12:$A$29,'LED Lighting Estimator'!$D$5,'Control Benefit'!$B$12:$B$29,'LED Lighting Estimator'!$F71),0))</f>
        <v>0</v>
      </c>
      <c r="P71" s="86" t="str">
        <f>IFERROR((I71*365.25)/SUMIFS('Lighting Power Density'!$F$3:$F$50,'Lighting Power Density'!$A$3:$A$50,'LED Lighting Estimator'!$E71,'Lighting Power Density'!$B$3:$B$50,'LED Lighting Estimator'!$G71,'Lighting Power Density'!$C$3:$C$50,'LED Lighting Estimator'!$H71),"-")</f>
        <v>-</v>
      </c>
      <c r="Q71" s="86" t="str">
        <f>IFERROR((I71*365.25)/SUMIFS('Lighting Power Density'!$F$3:$F$50,'Lighting Power Density'!$A$3:$A$50,'LED Lighting Estimator'!$E71,'Lighting Power Density'!$B$3:$B$50,"LED",'Lighting Power Density'!$C$3:$C$50,'LED Lighting Estimator'!$H71),"-")</f>
        <v>-</v>
      </c>
      <c r="R71" s="59">
        <f t="shared" si="10"/>
        <v>0</v>
      </c>
      <c r="S71" s="59">
        <f t="shared" si="11"/>
        <v>0</v>
      </c>
      <c r="T71" s="59">
        <f>M71*IFERROR(SUMIFS('LED Costs'!$C$4:$C$22,'LED Costs'!$A$4:$A$22,'LED Lighting Estimator'!$D$5,'LED Costs'!$B$4:$B$22,'LED Lighting Estimator'!$F71)*1000,0)-IF($K71="No",$D71*SUMIFS('Control Benefit'!$E$12:$E$29,'Control Benefit'!$A$12:$A$29,'LED Lighting Estimator'!$D$5,'Control Benefit'!$B$12:$B$29,'LED Lighting Estimator'!$F71),0)</f>
        <v>0</v>
      </c>
      <c r="U71" s="59">
        <f t="shared" si="4"/>
        <v>0</v>
      </c>
      <c r="V71" s="59">
        <f>IFERROR(D71*P71*(SUMIFS('Other Costs'!$F$2:$F$19,'Other Costs'!$A$2:$A$19,'LED Lighting Estimator'!G71,'Other Costs'!$C$2:$C$19,'LED Lighting Estimator'!H71)+$D$9),0)</f>
        <v>0</v>
      </c>
      <c r="W71" s="60">
        <f>IFERROR(D71*Q71*(M71*SUMIFS('LED Costs'!$C$4:$C$22,'LED Costs'!$A$4:$A$22,$D$5,'LED Costs'!$B$4:$B$22,'LED Lighting Estimator'!$F71)/1000+'LED Lighting Estimator'!$D$9),0)</f>
        <v>0</v>
      </c>
      <c r="X71" s="61">
        <f t="shared" si="5"/>
        <v>0</v>
      </c>
      <c r="Y71" s="61">
        <f>IFERROR(($N71-$O71)*'Emission factors'!$D$4,0)</f>
        <v>0</v>
      </c>
      <c r="AA71" s="84"/>
      <c r="AB71" s="84"/>
      <c r="AC71" s="68" t="str">
        <f>IFERROR(D71*INDEX('BEES Data'!$B$6:$AL$9,MATCH('LED Lighting Estimator'!AB71,'BEES Data'!$A$6:$A$9,0),MATCH('LED Lighting Estimator'!AA71,'BEES Data'!$B$5:$AL$5,0)),"-")</f>
        <v>-</v>
      </c>
      <c r="AD71" s="68">
        <f>IFERROR(AC71*INDEX('BEES Data'!$B$14:$AL$14,1,MATCH('LED Lighting Estimator'!AA71,'BEES Data'!$B$5:$AL$5,0)),0)</f>
        <v>0</v>
      </c>
      <c r="AE71" s="69">
        <f t="shared" si="12"/>
        <v>0</v>
      </c>
      <c r="AF71" s="69">
        <f>IFERROR(AD71*INDEX('BEES Data'!$B$15:$AL$15,1,MATCH('LED Lighting Estimator'!AA71,'BEES Data'!$B$5:$AL$5)),0)</f>
        <v>0</v>
      </c>
      <c r="AG71" s="93">
        <f t="shared" si="9"/>
        <v>0</v>
      </c>
    </row>
    <row r="72" spans="2:33" x14ac:dyDescent="0.3">
      <c r="B72" s="84"/>
      <c r="C72" s="31"/>
      <c r="D72" s="85"/>
      <c r="E72" s="31"/>
      <c r="F72" s="31"/>
      <c r="G72" s="31"/>
      <c r="H72" s="31"/>
      <c r="I72" s="31"/>
      <c r="J72" s="31"/>
      <c r="K72" s="31"/>
      <c r="L72" s="86">
        <f>D72*SUMIFS('Lighting Power Density'!$E$3:$E$50,'Lighting Power Density'!$A$3:$A$50,'LED Lighting Estimator'!E72,'Lighting Power Density'!$B$3:$B$50,'LED Lighting Estimator'!G72,'Lighting Power Density'!$C$3:$C$50,'LED Lighting Estimator'!H72)/1000</f>
        <v>0</v>
      </c>
      <c r="M72" s="86">
        <f>D72*SUMIFS('Lighting Power Density'!$E$3:$E$50,'Lighting Power Density'!$A$3:$A$50,'LED Lighting Estimator'!E72,'Lighting Power Density'!$B$3:$B$50,"LED",'Lighting Power Density'!$C$3:$C$50,'LED Lighting Estimator'!H72)/1000</f>
        <v>0</v>
      </c>
      <c r="N72" s="58">
        <f t="shared" si="2"/>
        <v>0</v>
      </c>
      <c r="O72" s="58">
        <f>IFERROR(I72*365.25*M72*J72/7,0)*(1-IF(K72="Yes",SUMIFS('Control Benefit'!$C$12:$C$29,'Control Benefit'!$A$12:$A$29,'LED Lighting Estimator'!$D$5,'Control Benefit'!$B$12:$B$29,'LED Lighting Estimator'!$F72),0))</f>
        <v>0</v>
      </c>
      <c r="P72" s="86" t="str">
        <f>IFERROR((I72*365.25)/SUMIFS('Lighting Power Density'!$F$3:$F$50,'Lighting Power Density'!$A$3:$A$50,'LED Lighting Estimator'!$E72,'Lighting Power Density'!$B$3:$B$50,'LED Lighting Estimator'!$G72,'Lighting Power Density'!$C$3:$C$50,'LED Lighting Estimator'!$H72),"-")</f>
        <v>-</v>
      </c>
      <c r="Q72" s="86" t="str">
        <f>IFERROR((I72*365.25)/SUMIFS('Lighting Power Density'!$F$3:$F$50,'Lighting Power Density'!$A$3:$A$50,'LED Lighting Estimator'!$E72,'Lighting Power Density'!$B$3:$B$50,"LED",'Lighting Power Density'!$C$3:$C$50,'LED Lighting Estimator'!$H72),"-")</f>
        <v>-</v>
      </c>
      <c r="R72" s="59">
        <f t="shared" si="10"/>
        <v>0</v>
      </c>
      <c r="S72" s="59">
        <f t="shared" si="11"/>
        <v>0</v>
      </c>
      <c r="T72" s="59">
        <f>M72*IFERROR(SUMIFS('LED Costs'!$C$4:$C$22,'LED Costs'!$A$4:$A$22,'LED Lighting Estimator'!$D$5,'LED Costs'!$B$4:$B$22,'LED Lighting Estimator'!$F72)*1000,0)-IF($K72="No",$D72*SUMIFS('Control Benefit'!$E$12:$E$29,'Control Benefit'!$A$12:$A$29,'LED Lighting Estimator'!$D$5,'Control Benefit'!$B$12:$B$29,'LED Lighting Estimator'!$F72),0)</f>
        <v>0</v>
      </c>
      <c r="U72" s="59">
        <f t="shared" si="4"/>
        <v>0</v>
      </c>
      <c r="V72" s="59">
        <f>IFERROR(D72*P72*(SUMIFS('Other Costs'!$F$2:$F$19,'Other Costs'!$A$2:$A$19,'LED Lighting Estimator'!G72,'Other Costs'!$C$2:$C$19,'LED Lighting Estimator'!H72)+$D$9),0)</f>
        <v>0</v>
      </c>
      <c r="W72" s="60">
        <f>IFERROR(D72*Q72*(M72*SUMIFS('LED Costs'!$C$4:$C$22,'LED Costs'!$A$4:$A$22,$D$5,'LED Costs'!$B$4:$B$22,'LED Lighting Estimator'!$F72)/1000+'LED Lighting Estimator'!$D$9),0)</f>
        <v>0</v>
      </c>
      <c r="X72" s="61">
        <f t="shared" si="5"/>
        <v>0</v>
      </c>
      <c r="Y72" s="61">
        <f>IFERROR(($N72-$O72)*'Emission factors'!$D$4,0)</f>
        <v>0</v>
      </c>
      <c r="AA72" s="84"/>
      <c r="AB72" s="84"/>
      <c r="AC72" s="68" t="str">
        <f>IFERROR(D72*INDEX('BEES Data'!$B$6:$AL$9,MATCH('LED Lighting Estimator'!AB72,'BEES Data'!$A$6:$A$9,0),MATCH('LED Lighting Estimator'!AA72,'BEES Data'!$B$5:$AL$5,0)),"-")</f>
        <v>-</v>
      </c>
      <c r="AD72" s="68">
        <f>IFERROR(AC72*INDEX('BEES Data'!$B$14:$AL$14,1,MATCH('LED Lighting Estimator'!AA72,'BEES Data'!$B$5:$AL$5,0)),0)</f>
        <v>0</v>
      </c>
      <c r="AE72" s="69">
        <f t="shared" si="12"/>
        <v>0</v>
      </c>
      <c r="AF72" s="69">
        <f>IFERROR(AD72*INDEX('BEES Data'!$B$15:$AL$15,1,MATCH('LED Lighting Estimator'!AA72,'BEES Data'!$B$5:$AL$5)),0)</f>
        <v>0</v>
      </c>
      <c r="AG72" s="93">
        <f t="shared" si="9"/>
        <v>0</v>
      </c>
    </row>
    <row r="73" spans="2:33" x14ac:dyDescent="0.3">
      <c r="B73" s="84"/>
      <c r="C73" s="31"/>
      <c r="D73" s="85"/>
      <c r="E73" s="31"/>
      <c r="F73" s="31"/>
      <c r="G73" s="31"/>
      <c r="H73" s="31"/>
      <c r="I73" s="31"/>
      <c r="J73" s="31"/>
      <c r="K73" s="31"/>
      <c r="L73" s="86">
        <f>D73*SUMIFS('Lighting Power Density'!$E$3:$E$50,'Lighting Power Density'!$A$3:$A$50,'LED Lighting Estimator'!E73,'Lighting Power Density'!$B$3:$B$50,'LED Lighting Estimator'!G73,'Lighting Power Density'!$C$3:$C$50,'LED Lighting Estimator'!H73)/1000</f>
        <v>0</v>
      </c>
      <c r="M73" s="86">
        <f>D73*SUMIFS('Lighting Power Density'!$E$3:$E$50,'Lighting Power Density'!$A$3:$A$50,'LED Lighting Estimator'!E73,'Lighting Power Density'!$B$3:$B$50,"LED",'Lighting Power Density'!$C$3:$C$50,'LED Lighting Estimator'!H73)/1000</f>
        <v>0</v>
      </c>
      <c r="N73" s="58">
        <f t="shared" si="2"/>
        <v>0</v>
      </c>
      <c r="O73" s="58">
        <f>IFERROR(I73*365.25*M73*J73/7,0)*(1-IF(K73="Yes",SUMIFS('Control Benefit'!$C$12:$C$29,'Control Benefit'!$A$12:$A$29,'LED Lighting Estimator'!$D$5,'Control Benefit'!$B$12:$B$29,'LED Lighting Estimator'!$F73),0))</f>
        <v>0</v>
      </c>
      <c r="P73" s="86" t="str">
        <f>IFERROR((I73*365.25)/SUMIFS('Lighting Power Density'!$F$3:$F$50,'Lighting Power Density'!$A$3:$A$50,'LED Lighting Estimator'!$E73,'Lighting Power Density'!$B$3:$B$50,'LED Lighting Estimator'!$G73,'Lighting Power Density'!$C$3:$C$50,'LED Lighting Estimator'!$H73),"-")</f>
        <v>-</v>
      </c>
      <c r="Q73" s="86" t="str">
        <f>IFERROR((I73*365.25)/SUMIFS('Lighting Power Density'!$F$3:$F$50,'Lighting Power Density'!$A$3:$A$50,'LED Lighting Estimator'!$E73,'Lighting Power Density'!$B$3:$B$50,"LED",'Lighting Power Density'!$C$3:$C$50,'LED Lighting Estimator'!$H73),"-")</f>
        <v>-</v>
      </c>
      <c r="R73" s="59">
        <f t="shared" si="10"/>
        <v>0</v>
      </c>
      <c r="S73" s="59">
        <f t="shared" si="11"/>
        <v>0</v>
      </c>
      <c r="T73" s="59">
        <f>M73*IFERROR(SUMIFS('LED Costs'!$C$4:$C$22,'LED Costs'!$A$4:$A$22,'LED Lighting Estimator'!$D$5,'LED Costs'!$B$4:$B$22,'LED Lighting Estimator'!$F73)*1000,0)-IF($K73="No",$D73*SUMIFS('Control Benefit'!$E$12:$E$29,'Control Benefit'!$A$12:$A$29,'LED Lighting Estimator'!$D$5,'Control Benefit'!$B$12:$B$29,'LED Lighting Estimator'!$F73),0)</f>
        <v>0</v>
      </c>
      <c r="U73" s="59">
        <f t="shared" si="4"/>
        <v>0</v>
      </c>
      <c r="V73" s="59">
        <f>IFERROR(D73*P73*(SUMIFS('Other Costs'!$F$2:$F$19,'Other Costs'!$A$2:$A$19,'LED Lighting Estimator'!G73,'Other Costs'!$C$2:$C$19,'LED Lighting Estimator'!H73)+$D$9),0)</f>
        <v>0</v>
      </c>
      <c r="W73" s="60">
        <f>IFERROR(D73*Q73*(M73*SUMIFS('LED Costs'!$C$4:$C$22,'LED Costs'!$A$4:$A$22,$D$5,'LED Costs'!$B$4:$B$22,'LED Lighting Estimator'!$F73)/1000+'LED Lighting Estimator'!$D$9),0)</f>
        <v>0</v>
      </c>
      <c r="X73" s="61">
        <f t="shared" si="5"/>
        <v>0</v>
      </c>
      <c r="Y73" s="61">
        <f>IFERROR(($N73-$O73)*'Emission factors'!$D$4,0)</f>
        <v>0</v>
      </c>
      <c r="AA73" s="84"/>
      <c r="AB73" s="84"/>
      <c r="AC73" s="68" t="str">
        <f>IFERROR(D73*INDEX('BEES Data'!$B$6:$AL$9,MATCH('LED Lighting Estimator'!AB73,'BEES Data'!$A$6:$A$9,0),MATCH('LED Lighting Estimator'!AA73,'BEES Data'!$B$5:$AL$5,0)),"-")</f>
        <v>-</v>
      </c>
      <c r="AD73" s="68">
        <f>IFERROR(AC73*INDEX('BEES Data'!$B$14:$AL$14,1,MATCH('LED Lighting Estimator'!AA73,'BEES Data'!$B$5:$AL$5,0)),0)</f>
        <v>0</v>
      </c>
      <c r="AE73" s="69">
        <f t="shared" si="12"/>
        <v>0</v>
      </c>
      <c r="AF73" s="69">
        <f>IFERROR(AD73*INDEX('BEES Data'!$B$15:$AL$15,1,MATCH('LED Lighting Estimator'!AA73,'BEES Data'!$B$5:$AL$5)),0)</f>
        <v>0</v>
      </c>
      <c r="AG73" s="93">
        <f t="shared" si="9"/>
        <v>0</v>
      </c>
    </row>
    <row r="74" spans="2:33" x14ac:dyDescent="0.3">
      <c r="B74" s="84"/>
      <c r="C74" s="31"/>
      <c r="D74" s="85"/>
      <c r="E74" s="31"/>
      <c r="F74" s="31"/>
      <c r="G74" s="31"/>
      <c r="H74" s="31"/>
      <c r="I74" s="31"/>
      <c r="J74" s="31"/>
      <c r="K74" s="31"/>
      <c r="L74" s="86">
        <f>D74*SUMIFS('Lighting Power Density'!$E$3:$E$50,'Lighting Power Density'!$A$3:$A$50,'LED Lighting Estimator'!E74,'Lighting Power Density'!$B$3:$B$50,'LED Lighting Estimator'!G74,'Lighting Power Density'!$C$3:$C$50,'LED Lighting Estimator'!H74)/1000</f>
        <v>0</v>
      </c>
      <c r="M74" s="86">
        <f>D74*SUMIFS('Lighting Power Density'!$E$3:$E$50,'Lighting Power Density'!$A$3:$A$50,'LED Lighting Estimator'!E74,'Lighting Power Density'!$B$3:$B$50,"LED",'Lighting Power Density'!$C$3:$C$50,'LED Lighting Estimator'!H74)/1000</f>
        <v>0</v>
      </c>
      <c r="N74" s="58">
        <f t="shared" si="2"/>
        <v>0</v>
      </c>
      <c r="O74" s="58">
        <f>IFERROR(I74*365.25*M74*J74/7,0)*(1-IF(K74="Yes",SUMIFS('Control Benefit'!$C$12:$C$29,'Control Benefit'!$A$12:$A$29,'LED Lighting Estimator'!$D$5,'Control Benefit'!$B$12:$B$29,'LED Lighting Estimator'!$F74),0))</f>
        <v>0</v>
      </c>
      <c r="P74" s="86" t="str">
        <f>IFERROR((I74*365.25)/SUMIFS('Lighting Power Density'!$F$3:$F$50,'Lighting Power Density'!$A$3:$A$50,'LED Lighting Estimator'!$E74,'Lighting Power Density'!$B$3:$B$50,'LED Lighting Estimator'!$G74,'Lighting Power Density'!$C$3:$C$50,'LED Lighting Estimator'!$H74),"-")</f>
        <v>-</v>
      </c>
      <c r="Q74" s="86" t="str">
        <f>IFERROR((I74*365.25)/SUMIFS('Lighting Power Density'!$F$3:$F$50,'Lighting Power Density'!$A$3:$A$50,'LED Lighting Estimator'!$E74,'Lighting Power Density'!$B$3:$B$50,"LED",'Lighting Power Density'!$C$3:$C$50,'LED Lighting Estimator'!$H74),"-")</f>
        <v>-</v>
      </c>
      <c r="R74" s="59">
        <f t="shared" si="10"/>
        <v>0</v>
      </c>
      <c r="S74" s="59">
        <f t="shared" si="11"/>
        <v>0</v>
      </c>
      <c r="T74" s="59">
        <f>M74*IFERROR(SUMIFS('LED Costs'!$C$4:$C$22,'LED Costs'!$A$4:$A$22,'LED Lighting Estimator'!$D$5,'LED Costs'!$B$4:$B$22,'LED Lighting Estimator'!$F74)*1000,0)-IF($K74="No",$D74*SUMIFS('Control Benefit'!$E$12:$E$29,'Control Benefit'!$A$12:$A$29,'LED Lighting Estimator'!$D$5,'Control Benefit'!$B$12:$B$29,'LED Lighting Estimator'!$F74),0)</f>
        <v>0</v>
      </c>
      <c r="U74" s="59">
        <f t="shared" si="4"/>
        <v>0</v>
      </c>
      <c r="V74" s="59">
        <f>IFERROR(D74*P74*(SUMIFS('Other Costs'!$F$2:$F$19,'Other Costs'!$A$2:$A$19,'LED Lighting Estimator'!G74,'Other Costs'!$C$2:$C$19,'LED Lighting Estimator'!H74)+$D$9),0)</f>
        <v>0</v>
      </c>
      <c r="W74" s="60">
        <f>IFERROR(D74*Q74*(M74*SUMIFS('LED Costs'!$C$4:$C$22,'LED Costs'!$A$4:$A$22,$D$5,'LED Costs'!$B$4:$B$22,'LED Lighting Estimator'!$F74)/1000+'LED Lighting Estimator'!$D$9),0)</f>
        <v>0</v>
      </c>
      <c r="X74" s="61">
        <f t="shared" si="5"/>
        <v>0</v>
      </c>
      <c r="Y74" s="61">
        <f>IFERROR(($N74-$O74)*'Emission factors'!$D$4,0)</f>
        <v>0</v>
      </c>
      <c r="AA74" s="84"/>
      <c r="AB74" s="84"/>
      <c r="AC74" s="68" t="str">
        <f>IFERROR(D74*INDEX('BEES Data'!$B$6:$AL$9,MATCH('LED Lighting Estimator'!AB74,'BEES Data'!$A$6:$A$9,0),MATCH('LED Lighting Estimator'!AA74,'BEES Data'!$B$5:$AL$5,0)),"-")</f>
        <v>-</v>
      </c>
      <c r="AD74" s="68">
        <f>IFERROR(AC74*INDEX('BEES Data'!$B$14:$AL$14,1,MATCH('LED Lighting Estimator'!AA74,'BEES Data'!$B$5:$AL$5,0)),0)</f>
        <v>0</v>
      </c>
      <c r="AE74" s="69">
        <f t="shared" si="12"/>
        <v>0</v>
      </c>
      <c r="AF74" s="69">
        <f>IFERROR(AD74*INDEX('BEES Data'!$B$15:$AL$15,1,MATCH('LED Lighting Estimator'!AA74,'BEES Data'!$B$5:$AL$5)),0)</f>
        <v>0</v>
      </c>
      <c r="AG74" s="93">
        <f t="shared" si="9"/>
        <v>0</v>
      </c>
    </row>
    <row r="75" spans="2:33" x14ac:dyDescent="0.3">
      <c r="B75" s="84"/>
      <c r="C75" s="31"/>
      <c r="D75" s="85"/>
      <c r="E75" s="31"/>
      <c r="F75" s="31"/>
      <c r="G75" s="31"/>
      <c r="H75" s="31"/>
      <c r="I75" s="31"/>
      <c r="J75" s="31"/>
      <c r="K75" s="31"/>
      <c r="L75" s="86">
        <f>D75*SUMIFS('Lighting Power Density'!$E$3:$E$50,'Lighting Power Density'!$A$3:$A$50,'LED Lighting Estimator'!E75,'Lighting Power Density'!$B$3:$B$50,'LED Lighting Estimator'!G75,'Lighting Power Density'!$C$3:$C$50,'LED Lighting Estimator'!H75)/1000</f>
        <v>0</v>
      </c>
      <c r="M75" s="86">
        <f>D75*SUMIFS('Lighting Power Density'!$E$3:$E$50,'Lighting Power Density'!$A$3:$A$50,'LED Lighting Estimator'!E75,'Lighting Power Density'!$B$3:$B$50,"LED",'Lighting Power Density'!$C$3:$C$50,'LED Lighting Estimator'!H75)/1000</f>
        <v>0</v>
      </c>
      <c r="N75" s="58">
        <f t="shared" si="2"/>
        <v>0</v>
      </c>
      <c r="O75" s="58">
        <f>IFERROR(I75*365.25*M75*J75/7,0)*(1-IF(K75="Yes",SUMIFS('Control Benefit'!$C$12:$C$29,'Control Benefit'!$A$12:$A$29,'LED Lighting Estimator'!$D$5,'Control Benefit'!$B$12:$B$29,'LED Lighting Estimator'!$F75),0))</f>
        <v>0</v>
      </c>
      <c r="P75" s="86" t="str">
        <f>IFERROR((I75*365.25)/SUMIFS('Lighting Power Density'!$F$3:$F$50,'Lighting Power Density'!$A$3:$A$50,'LED Lighting Estimator'!$E75,'Lighting Power Density'!$B$3:$B$50,'LED Lighting Estimator'!$G75,'Lighting Power Density'!$C$3:$C$50,'LED Lighting Estimator'!$H75),"-")</f>
        <v>-</v>
      </c>
      <c r="Q75" s="86" t="str">
        <f>IFERROR((I75*365.25)/SUMIFS('Lighting Power Density'!$F$3:$F$50,'Lighting Power Density'!$A$3:$A$50,'LED Lighting Estimator'!$E75,'Lighting Power Density'!$B$3:$B$50,"LED",'Lighting Power Density'!$C$3:$C$50,'LED Lighting Estimator'!$H75),"-")</f>
        <v>-</v>
      </c>
      <c r="R75" s="59">
        <f t="shared" si="10"/>
        <v>0</v>
      </c>
      <c r="S75" s="59">
        <f t="shared" si="11"/>
        <v>0</v>
      </c>
      <c r="T75" s="59">
        <f>M75*IFERROR(SUMIFS('LED Costs'!$C$4:$C$22,'LED Costs'!$A$4:$A$22,'LED Lighting Estimator'!$D$5,'LED Costs'!$B$4:$B$22,'LED Lighting Estimator'!$F75)*1000,0)-IF($K75="No",$D75*SUMIFS('Control Benefit'!$E$12:$E$29,'Control Benefit'!$A$12:$A$29,'LED Lighting Estimator'!$D$5,'Control Benefit'!$B$12:$B$29,'LED Lighting Estimator'!$F75),0)</f>
        <v>0</v>
      </c>
      <c r="U75" s="59">
        <f t="shared" si="4"/>
        <v>0</v>
      </c>
      <c r="V75" s="59">
        <f>IFERROR(D75*P75*(SUMIFS('Other Costs'!$F$2:$F$19,'Other Costs'!$A$2:$A$19,'LED Lighting Estimator'!G75,'Other Costs'!$C$2:$C$19,'LED Lighting Estimator'!H75)+$D$9),0)</f>
        <v>0</v>
      </c>
      <c r="W75" s="60">
        <f>IFERROR(D75*Q75*(M75*SUMIFS('LED Costs'!$C$4:$C$22,'LED Costs'!$A$4:$A$22,$D$5,'LED Costs'!$B$4:$B$22,'LED Lighting Estimator'!$F75)/1000+'LED Lighting Estimator'!$D$9),0)</f>
        <v>0</v>
      </c>
      <c r="X75" s="61">
        <f t="shared" si="5"/>
        <v>0</v>
      </c>
      <c r="Y75" s="61">
        <f>IFERROR(($N75-$O75)*'Emission factors'!$D$4,0)</f>
        <v>0</v>
      </c>
      <c r="AA75" s="84"/>
      <c r="AB75" s="84"/>
      <c r="AC75" s="68" t="str">
        <f>IFERROR(D75*INDEX('BEES Data'!$B$6:$AL$9,MATCH('LED Lighting Estimator'!AB75,'BEES Data'!$A$6:$A$9,0),MATCH('LED Lighting Estimator'!AA75,'BEES Data'!$B$5:$AL$5,0)),"-")</f>
        <v>-</v>
      </c>
      <c r="AD75" s="68">
        <f>IFERROR(AC75*INDEX('BEES Data'!$B$14:$AL$14,1,MATCH('LED Lighting Estimator'!AA75,'BEES Data'!$B$5:$AL$5,0)),0)</f>
        <v>0</v>
      </c>
      <c r="AE75" s="69">
        <f t="shared" si="12"/>
        <v>0</v>
      </c>
      <c r="AF75" s="69">
        <f>IFERROR(AD75*INDEX('BEES Data'!$B$15:$AL$15,1,MATCH('LED Lighting Estimator'!AA75,'BEES Data'!$B$5:$AL$5)),0)</f>
        <v>0</v>
      </c>
      <c r="AG75" s="93">
        <f t="shared" si="9"/>
        <v>0</v>
      </c>
    </row>
    <row r="76" spans="2:33" x14ac:dyDescent="0.3">
      <c r="B76" s="84"/>
      <c r="C76" s="31"/>
      <c r="D76" s="85"/>
      <c r="E76" s="31"/>
      <c r="F76" s="31"/>
      <c r="G76" s="31"/>
      <c r="H76" s="31"/>
      <c r="I76" s="31"/>
      <c r="J76" s="31"/>
      <c r="K76" s="31"/>
      <c r="L76" s="86">
        <f>D76*SUMIFS('Lighting Power Density'!$E$3:$E$50,'Lighting Power Density'!$A$3:$A$50,'LED Lighting Estimator'!E76,'Lighting Power Density'!$B$3:$B$50,'LED Lighting Estimator'!G76,'Lighting Power Density'!$C$3:$C$50,'LED Lighting Estimator'!H76)/1000</f>
        <v>0</v>
      </c>
      <c r="M76" s="86">
        <f>D76*SUMIFS('Lighting Power Density'!$E$3:$E$50,'Lighting Power Density'!$A$3:$A$50,'LED Lighting Estimator'!E76,'Lighting Power Density'!$B$3:$B$50,"LED",'Lighting Power Density'!$C$3:$C$50,'LED Lighting Estimator'!H76)/1000</f>
        <v>0</v>
      </c>
      <c r="N76" s="58">
        <f t="shared" si="2"/>
        <v>0</v>
      </c>
      <c r="O76" s="58">
        <f>IFERROR(I76*365.25*M76*J76/7,0)*(1-IF(K76="Yes",SUMIFS('Control Benefit'!$C$12:$C$29,'Control Benefit'!$A$12:$A$29,'LED Lighting Estimator'!$D$5,'Control Benefit'!$B$12:$B$29,'LED Lighting Estimator'!$F76),0))</f>
        <v>0</v>
      </c>
      <c r="P76" s="86" t="str">
        <f>IFERROR((I76*365.25)/SUMIFS('Lighting Power Density'!$F$3:$F$50,'Lighting Power Density'!$A$3:$A$50,'LED Lighting Estimator'!$E76,'Lighting Power Density'!$B$3:$B$50,'LED Lighting Estimator'!$G76,'Lighting Power Density'!$C$3:$C$50,'LED Lighting Estimator'!$H76),"-")</f>
        <v>-</v>
      </c>
      <c r="Q76" s="86" t="str">
        <f>IFERROR((I76*365.25)/SUMIFS('Lighting Power Density'!$F$3:$F$50,'Lighting Power Density'!$A$3:$A$50,'LED Lighting Estimator'!$E76,'Lighting Power Density'!$B$3:$B$50,"LED",'Lighting Power Density'!$C$3:$C$50,'LED Lighting Estimator'!$H76),"-")</f>
        <v>-</v>
      </c>
      <c r="R76" s="59">
        <f t="shared" si="10"/>
        <v>0</v>
      </c>
      <c r="S76" s="59">
        <f t="shared" si="11"/>
        <v>0</v>
      </c>
      <c r="T76" s="59">
        <f>M76*IFERROR(SUMIFS('LED Costs'!$C$4:$C$22,'LED Costs'!$A$4:$A$22,'LED Lighting Estimator'!$D$5,'LED Costs'!$B$4:$B$22,'LED Lighting Estimator'!$F76)*1000,0)-IF($K76="No",$D76*SUMIFS('Control Benefit'!$E$12:$E$29,'Control Benefit'!$A$12:$A$29,'LED Lighting Estimator'!$D$5,'Control Benefit'!$B$12:$B$29,'LED Lighting Estimator'!$F76),0)</f>
        <v>0</v>
      </c>
      <c r="U76" s="59">
        <f t="shared" si="4"/>
        <v>0</v>
      </c>
      <c r="V76" s="59">
        <f>IFERROR(D76*P76*(SUMIFS('Other Costs'!$F$2:$F$19,'Other Costs'!$A$2:$A$19,'LED Lighting Estimator'!G76,'Other Costs'!$C$2:$C$19,'LED Lighting Estimator'!H76)+$D$9),0)</f>
        <v>0</v>
      </c>
      <c r="W76" s="60">
        <f>IFERROR(D76*Q76*(M76*SUMIFS('LED Costs'!$C$4:$C$22,'LED Costs'!$A$4:$A$22,$D$5,'LED Costs'!$B$4:$B$22,'LED Lighting Estimator'!$F76)/1000+'LED Lighting Estimator'!$D$9),0)</f>
        <v>0</v>
      </c>
      <c r="X76" s="61">
        <f t="shared" si="5"/>
        <v>0</v>
      </c>
      <c r="Y76" s="61">
        <f>IFERROR(($N76-$O76)*'Emission factors'!$D$4,0)</f>
        <v>0</v>
      </c>
      <c r="AA76" s="84"/>
      <c r="AB76" s="84"/>
      <c r="AC76" s="68" t="str">
        <f>IFERROR(D76*INDEX('BEES Data'!$B$6:$AL$9,MATCH('LED Lighting Estimator'!AB76,'BEES Data'!$A$6:$A$9,0),MATCH('LED Lighting Estimator'!AA76,'BEES Data'!$B$5:$AL$5,0)),"-")</f>
        <v>-</v>
      </c>
      <c r="AD76" s="68">
        <f>IFERROR(AC76*INDEX('BEES Data'!$B$14:$AL$14,1,MATCH('LED Lighting Estimator'!AA76,'BEES Data'!$B$5:$AL$5,0)),0)</f>
        <v>0</v>
      </c>
      <c r="AE76" s="69">
        <f t="shared" si="12"/>
        <v>0</v>
      </c>
      <c r="AF76" s="69">
        <f>IFERROR(AD76*INDEX('BEES Data'!$B$15:$AL$15,1,MATCH('LED Lighting Estimator'!AA76,'BEES Data'!$B$5:$AL$5)),0)</f>
        <v>0</v>
      </c>
      <c r="AG76" s="93">
        <f t="shared" si="9"/>
        <v>0</v>
      </c>
    </row>
    <row r="77" spans="2:33" x14ac:dyDescent="0.3">
      <c r="B77" s="84"/>
      <c r="C77" s="31"/>
      <c r="D77" s="85"/>
      <c r="E77" s="31"/>
      <c r="F77" s="31"/>
      <c r="G77" s="31"/>
      <c r="H77" s="31"/>
      <c r="I77" s="31"/>
      <c r="J77" s="31"/>
      <c r="K77" s="31"/>
      <c r="L77" s="86">
        <f>D77*SUMIFS('Lighting Power Density'!$E$3:$E$50,'Lighting Power Density'!$A$3:$A$50,'LED Lighting Estimator'!E77,'Lighting Power Density'!$B$3:$B$50,'LED Lighting Estimator'!G77,'Lighting Power Density'!$C$3:$C$50,'LED Lighting Estimator'!H77)/1000</f>
        <v>0</v>
      </c>
      <c r="M77" s="86">
        <f>D77*SUMIFS('Lighting Power Density'!$E$3:$E$50,'Lighting Power Density'!$A$3:$A$50,'LED Lighting Estimator'!E77,'Lighting Power Density'!$B$3:$B$50,"LED",'Lighting Power Density'!$C$3:$C$50,'LED Lighting Estimator'!H77)/1000</f>
        <v>0</v>
      </c>
      <c r="N77" s="58">
        <f t="shared" si="2"/>
        <v>0</v>
      </c>
      <c r="O77" s="58">
        <f>IFERROR(I77*365.25*M77*J77/7,0)*(1-IF(K77="Yes",SUMIFS('Control Benefit'!$C$12:$C$29,'Control Benefit'!$A$12:$A$29,'LED Lighting Estimator'!$D$5,'Control Benefit'!$B$12:$B$29,'LED Lighting Estimator'!$F77),0))</f>
        <v>0</v>
      </c>
      <c r="P77" s="86" t="str">
        <f>IFERROR((I77*365.25)/SUMIFS('Lighting Power Density'!$F$3:$F$50,'Lighting Power Density'!$A$3:$A$50,'LED Lighting Estimator'!$E77,'Lighting Power Density'!$B$3:$B$50,'LED Lighting Estimator'!$G77,'Lighting Power Density'!$C$3:$C$50,'LED Lighting Estimator'!$H77),"-")</f>
        <v>-</v>
      </c>
      <c r="Q77" s="86" t="str">
        <f>IFERROR((I77*365.25)/SUMIFS('Lighting Power Density'!$F$3:$F$50,'Lighting Power Density'!$A$3:$A$50,'LED Lighting Estimator'!$E77,'Lighting Power Density'!$B$3:$B$50,"LED",'Lighting Power Density'!$C$3:$C$50,'LED Lighting Estimator'!$H77),"-")</f>
        <v>-</v>
      </c>
      <c r="R77" s="59">
        <f t="shared" si="10"/>
        <v>0</v>
      </c>
      <c r="S77" s="59">
        <f t="shared" si="11"/>
        <v>0</v>
      </c>
      <c r="T77" s="59">
        <f>M77*IFERROR(SUMIFS('LED Costs'!$C$4:$C$22,'LED Costs'!$A$4:$A$22,'LED Lighting Estimator'!$D$5,'LED Costs'!$B$4:$B$22,'LED Lighting Estimator'!$F77)*1000,0)-IF($K77="No",$D77*SUMIFS('Control Benefit'!$E$12:$E$29,'Control Benefit'!$A$12:$A$29,'LED Lighting Estimator'!$D$5,'Control Benefit'!$B$12:$B$29,'LED Lighting Estimator'!$F77),0)</f>
        <v>0</v>
      </c>
      <c r="U77" s="59">
        <f t="shared" si="4"/>
        <v>0</v>
      </c>
      <c r="V77" s="59">
        <f>IFERROR(D77*P77*(SUMIFS('Other Costs'!$F$2:$F$19,'Other Costs'!$A$2:$A$19,'LED Lighting Estimator'!G77,'Other Costs'!$C$2:$C$19,'LED Lighting Estimator'!H77)+$D$9),0)</f>
        <v>0</v>
      </c>
      <c r="W77" s="60">
        <f>IFERROR(D77*Q77*(M77*SUMIFS('LED Costs'!$C$4:$C$22,'LED Costs'!$A$4:$A$22,$D$5,'LED Costs'!$B$4:$B$22,'LED Lighting Estimator'!$F77)/1000+'LED Lighting Estimator'!$D$9),0)</f>
        <v>0</v>
      </c>
      <c r="X77" s="61">
        <f t="shared" si="5"/>
        <v>0</v>
      </c>
      <c r="Y77" s="61">
        <f>IFERROR(($N77-$O77)*'Emission factors'!$D$4,0)</f>
        <v>0</v>
      </c>
      <c r="AA77" s="84"/>
      <c r="AB77" s="84"/>
      <c r="AC77" s="68" t="str">
        <f>IFERROR(D77*INDEX('BEES Data'!$B$6:$AL$9,MATCH('LED Lighting Estimator'!AB77,'BEES Data'!$A$6:$A$9,0),MATCH('LED Lighting Estimator'!AA77,'BEES Data'!$B$5:$AL$5,0)),"-")</f>
        <v>-</v>
      </c>
      <c r="AD77" s="68">
        <f>IFERROR(AC77*INDEX('BEES Data'!$B$14:$AL$14,1,MATCH('LED Lighting Estimator'!AA77,'BEES Data'!$B$5:$AL$5,0)),0)</f>
        <v>0</v>
      </c>
      <c r="AE77" s="69">
        <f t="shared" si="12"/>
        <v>0</v>
      </c>
      <c r="AF77" s="69">
        <f>IFERROR(AD77*INDEX('BEES Data'!$B$15:$AL$15,1,MATCH('LED Lighting Estimator'!AA77,'BEES Data'!$B$5:$AL$5)),0)</f>
        <v>0</v>
      </c>
      <c r="AG77" s="93">
        <f t="shared" si="9"/>
        <v>0</v>
      </c>
    </row>
    <row r="78" spans="2:33" x14ac:dyDescent="0.3">
      <c r="B78" s="84"/>
      <c r="C78" s="31"/>
      <c r="D78" s="85"/>
      <c r="E78" s="31"/>
      <c r="F78" s="31"/>
      <c r="G78" s="31"/>
      <c r="H78" s="31"/>
      <c r="I78" s="31"/>
      <c r="J78" s="31"/>
      <c r="K78" s="31"/>
      <c r="L78" s="86">
        <f>D78*SUMIFS('Lighting Power Density'!$E$3:$E$50,'Lighting Power Density'!$A$3:$A$50,'LED Lighting Estimator'!E78,'Lighting Power Density'!$B$3:$B$50,'LED Lighting Estimator'!G78,'Lighting Power Density'!$C$3:$C$50,'LED Lighting Estimator'!H78)/1000</f>
        <v>0</v>
      </c>
      <c r="M78" s="86">
        <f>D78*SUMIFS('Lighting Power Density'!$E$3:$E$50,'Lighting Power Density'!$A$3:$A$50,'LED Lighting Estimator'!E78,'Lighting Power Density'!$B$3:$B$50,"LED",'Lighting Power Density'!$C$3:$C$50,'LED Lighting Estimator'!H78)/1000</f>
        <v>0</v>
      </c>
      <c r="N78" s="58">
        <f t="shared" si="2"/>
        <v>0</v>
      </c>
      <c r="O78" s="58">
        <f>IFERROR(I78*365.25*M78*J78/7,0)*(1-IF(K78="Yes",SUMIFS('Control Benefit'!$C$12:$C$29,'Control Benefit'!$A$12:$A$29,'LED Lighting Estimator'!$D$5,'Control Benefit'!$B$12:$B$29,'LED Lighting Estimator'!$F78),0))</f>
        <v>0</v>
      </c>
      <c r="P78" s="86" t="str">
        <f>IFERROR((I78*365.25)/SUMIFS('Lighting Power Density'!$F$3:$F$50,'Lighting Power Density'!$A$3:$A$50,'LED Lighting Estimator'!$E78,'Lighting Power Density'!$B$3:$B$50,'LED Lighting Estimator'!$G78,'Lighting Power Density'!$C$3:$C$50,'LED Lighting Estimator'!$H78),"-")</f>
        <v>-</v>
      </c>
      <c r="Q78" s="86" t="str">
        <f>IFERROR((I78*365.25)/SUMIFS('Lighting Power Density'!$F$3:$F$50,'Lighting Power Density'!$A$3:$A$50,'LED Lighting Estimator'!$E78,'Lighting Power Density'!$B$3:$B$50,"LED",'Lighting Power Density'!$C$3:$C$50,'LED Lighting Estimator'!$H78),"-")</f>
        <v>-</v>
      </c>
      <c r="R78" s="59">
        <f t="shared" si="10"/>
        <v>0</v>
      </c>
      <c r="S78" s="59">
        <f t="shared" si="11"/>
        <v>0</v>
      </c>
      <c r="T78" s="59">
        <f>M78*IFERROR(SUMIFS('LED Costs'!$C$4:$C$22,'LED Costs'!$A$4:$A$22,'LED Lighting Estimator'!$D$5,'LED Costs'!$B$4:$B$22,'LED Lighting Estimator'!$F78)*1000,0)-IF($K78="No",$D78*SUMIFS('Control Benefit'!$E$12:$E$29,'Control Benefit'!$A$12:$A$29,'LED Lighting Estimator'!$D$5,'Control Benefit'!$B$12:$B$29,'LED Lighting Estimator'!$F78),0)</f>
        <v>0</v>
      </c>
      <c r="U78" s="59">
        <f t="shared" si="4"/>
        <v>0</v>
      </c>
      <c r="V78" s="59">
        <f>IFERROR(D78*P78*(SUMIFS('Other Costs'!$F$2:$F$19,'Other Costs'!$A$2:$A$19,'LED Lighting Estimator'!G78,'Other Costs'!$C$2:$C$19,'LED Lighting Estimator'!H78)+$D$9),0)</f>
        <v>0</v>
      </c>
      <c r="W78" s="60">
        <f>IFERROR(D78*Q78*(M78*SUMIFS('LED Costs'!$C$4:$C$22,'LED Costs'!$A$4:$A$22,$D$5,'LED Costs'!$B$4:$B$22,'LED Lighting Estimator'!$F78)/1000+'LED Lighting Estimator'!$D$9),0)</f>
        <v>0</v>
      </c>
      <c r="X78" s="61">
        <f t="shared" si="5"/>
        <v>0</v>
      </c>
      <c r="Y78" s="61">
        <f>IFERROR(($N78-$O78)*'Emission factors'!$D$4,0)</f>
        <v>0</v>
      </c>
      <c r="AA78" s="84"/>
      <c r="AB78" s="84"/>
      <c r="AC78" s="68" t="str">
        <f>IFERROR(D78*INDEX('BEES Data'!$B$6:$AL$9,MATCH('LED Lighting Estimator'!AB78,'BEES Data'!$A$6:$A$9,0),MATCH('LED Lighting Estimator'!AA78,'BEES Data'!$B$5:$AL$5,0)),"-")</f>
        <v>-</v>
      </c>
      <c r="AD78" s="68">
        <f>IFERROR(AC78*INDEX('BEES Data'!$B$14:$AL$14,1,MATCH('LED Lighting Estimator'!AA78,'BEES Data'!$B$5:$AL$5,0)),0)</f>
        <v>0</v>
      </c>
      <c r="AE78" s="69">
        <f t="shared" si="12"/>
        <v>0</v>
      </c>
      <c r="AF78" s="69">
        <f>IFERROR(AD78*INDEX('BEES Data'!$B$15:$AL$15,1,MATCH('LED Lighting Estimator'!AA78,'BEES Data'!$B$5:$AL$5)),0)</f>
        <v>0</v>
      </c>
      <c r="AG78" s="93">
        <f t="shared" si="9"/>
        <v>0</v>
      </c>
    </row>
    <row r="79" spans="2:33" x14ac:dyDescent="0.3">
      <c r="B79" s="84"/>
      <c r="C79" s="31"/>
      <c r="D79" s="85"/>
      <c r="E79" s="31"/>
      <c r="F79" s="31"/>
      <c r="G79" s="31"/>
      <c r="H79" s="31"/>
      <c r="I79" s="31"/>
      <c r="J79" s="31"/>
      <c r="K79" s="31"/>
      <c r="L79" s="86">
        <f>D79*SUMIFS('Lighting Power Density'!$E$3:$E$50,'Lighting Power Density'!$A$3:$A$50,'LED Lighting Estimator'!E79,'Lighting Power Density'!$B$3:$B$50,'LED Lighting Estimator'!G79,'Lighting Power Density'!$C$3:$C$50,'LED Lighting Estimator'!H79)/1000</f>
        <v>0</v>
      </c>
      <c r="M79" s="86">
        <f>D79*SUMIFS('Lighting Power Density'!$E$3:$E$50,'Lighting Power Density'!$A$3:$A$50,'LED Lighting Estimator'!E79,'Lighting Power Density'!$B$3:$B$50,"LED",'Lighting Power Density'!$C$3:$C$50,'LED Lighting Estimator'!H79)/1000</f>
        <v>0</v>
      </c>
      <c r="N79" s="58">
        <f t="shared" si="2"/>
        <v>0</v>
      </c>
      <c r="O79" s="58">
        <f>IFERROR(I79*365.25*M79*J79/7,0)*(1-IF(K79="Yes",SUMIFS('Control Benefit'!$C$12:$C$29,'Control Benefit'!$A$12:$A$29,'LED Lighting Estimator'!$D$5,'Control Benefit'!$B$12:$B$29,'LED Lighting Estimator'!$F79),0))</f>
        <v>0</v>
      </c>
      <c r="P79" s="86" t="str">
        <f>IFERROR((I79*365.25)/SUMIFS('Lighting Power Density'!$F$3:$F$50,'Lighting Power Density'!$A$3:$A$50,'LED Lighting Estimator'!$E79,'Lighting Power Density'!$B$3:$B$50,'LED Lighting Estimator'!$G79,'Lighting Power Density'!$C$3:$C$50,'LED Lighting Estimator'!$H79),"-")</f>
        <v>-</v>
      </c>
      <c r="Q79" s="86" t="str">
        <f>IFERROR((I79*365.25)/SUMIFS('Lighting Power Density'!$F$3:$F$50,'Lighting Power Density'!$A$3:$A$50,'LED Lighting Estimator'!$E79,'Lighting Power Density'!$B$3:$B$50,"LED",'Lighting Power Density'!$C$3:$C$50,'LED Lighting Estimator'!$H79),"-")</f>
        <v>-</v>
      </c>
      <c r="R79" s="59">
        <f t="shared" si="10"/>
        <v>0</v>
      </c>
      <c r="S79" s="59">
        <f t="shared" si="11"/>
        <v>0</v>
      </c>
      <c r="T79" s="59">
        <f>M79*IFERROR(SUMIFS('LED Costs'!$C$4:$C$22,'LED Costs'!$A$4:$A$22,'LED Lighting Estimator'!$D$5,'LED Costs'!$B$4:$B$22,'LED Lighting Estimator'!$F79)*1000,0)-IF($K79="No",$D79*SUMIFS('Control Benefit'!$E$12:$E$29,'Control Benefit'!$A$12:$A$29,'LED Lighting Estimator'!$D$5,'Control Benefit'!$B$12:$B$29,'LED Lighting Estimator'!$F79),0)</f>
        <v>0</v>
      </c>
      <c r="U79" s="59">
        <f t="shared" si="4"/>
        <v>0</v>
      </c>
      <c r="V79" s="59">
        <f>IFERROR(D79*P79*(SUMIFS('Other Costs'!$F$2:$F$19,'Other Costs'!$A$2:$A$19,'LED Lighting Estimator'!G79,'Other Costs'!$C$2:$C$19,'LED Lighting Estimator'!H79)+$D$9),0)</f>
        <v>0</v>
      </c>
      <c r="W79" s="60">
        <f>IFERROR(D79*Q79*(M79*SUMIFS('LED Costs'!$C$4:$C$22,'LED Costs'!$A$4:$A$22,$D$5,'LED Costs'!$B$4:$B$22,'LED Lighting Estimator'!$F79)/1000+'LED Lighting Estimator'!$D$9),0)</f>
        <v>0</v>
      </c>
      <c r="X79" s="61">
        <f t="shared" si="5"/>
        <v>0</v>
      </c>
      <c r="Y79" s="61">
        <f>IFERROR(($N79-$O79)*'Emission factors'!$D$4,0)</f>
        <v>0</v>
      </c>
      <c r="AA79" s="84"/>
      <c r="AB79" s="84"/>
      <c r="AC79" s="68" t="str">
        <f>IFERROR(D79*INDEX('BEES Data'!$B$6:$AL$9,MATCH('LED Lighting Estimator'!AB79,'BEES Data'!$A$6:$A$9,0),MATCH('LED Lighting Estimator'!AA79,'BEES Data'!$B$5:$AL$5,0)),"-")</f>
        <v>-</v>
      </c>
      <c r="AD79" s="68">
        <f>IFERROR(AC79*INDEX('BEES Data'!$B$14:$AL$14,1,MATCH('LED Lighting Estimator'!AA79,'BEES Data'!$B$5:$AL$5,0)),0)</f>
        <v>0</v>
      </c>
      <c r="AE79" s="69">
        <f t="shared" si="12"/>
        <v>0</v>
      </c>
      <c r="AF79" s="69">
        <f>IFERROR(AD79*INDEX('BEES Data'!$B$15:$AL$15,1,MATCH('LED Lighting Estimator'!AA79,'BEES Data'!$B$5:$AL$5)),0)</f>
        <v>0</v>
      </c>
      <c r="AG79" s="93">
        <f t="shared" si="9"/>
        <v>0</v>
      </c>
    </row>
    <row r="80" spans="2:33" x14ac:dyDescent="0.3">
      <c r="B80" s="84"/>
      <c r="C80" s="31"/>
      <c r="D80" s="85"/>
      <c r="E80" s="31"/>
      <c r="F80" s="31"/>
      <c r="G80" s="31"/>
      <c r="H80" s="31"/>
      <c r="I80" s="31"/>
      <c r="J80" s="31"/>
      <c r="K80" s="31"/>
      <c r="L80" s="86">
        <f>D80*SUMIFS('Lighting Power Density'!$E$3:$E$50,'Lighting Power Density'!$A$3:$A$50,'LED Lighting Estimator'!E80,'Lighting Power Density'!$B$3:$B$50,'LED Lighting Estimator'!G80,'Lighting Power Density'!$C$3:$C$50,'LED Lighting Estimator'!H80)/1000</f>
        <v>0</v>
      </c>
      <c r="M80" s="86">
        <f>D80*SUMIFS('Lighting Power Density'!$E$3:$E$50,'Lighting Power Density'!$A$3:$A$50,'LED Lighting Estimator'!E80,'Lighting Power Density'!$B$3:$B$50,"LED",'Lighting Power Density'!$C$3:$C$50,'LED Lighting Estimator'!H80)/1000</f>
        <v>0</v>
      </c>
      <c r="N80" s="58">
        <f t="shared" si="2"/>
        <v>0</v>
      </c>
      <c r="O80" s="58">
        <f>IFERROR(I80*365.25*M80*J80/7,0)*(1-IF(K80="Yes",SUMIFS('Control Benefit'!$C$12:$C$29,'Control Benefit'!$A$12:$A$29,'LED Lighting Estimator'!$D$5,'Control Benefit'!$B$12:$B$29,'LED Lighting Estimator'!$F80),0))</f>
        <v>0</v>
      </c>
      <c r="P80" s="86" t="str">
        <f>IFERROR((I80*365.25)/SUMIFS('Lighting Power Density'!$F$3:$F$50,'Lighting Power Density'!$A$3:$A$50,'LED Lighting Estimator'!$E80,'Lighting Power Density'!$B$3:$B$50,'LED Lighting Estimator'!$G80,'Lighting Power Density'!$C$3:$C$50,'LED Lighting Estimator'!$H80),"-")</f>
        <v>-</v>
      </c>
      <c r="Q80" s="86" t="str">
        <f>IFERROR((I80*365.25)/SUMIFS('Lighting Power Density'!$F$3:$F$50,'Lighting Power Density'!$A$3:$A$50,'LED Lighting Estimator'!$E80,'Lighting Power Density'!$B$3:$B$50,"LED",'Lighting Power Density'!$C$3:$C$50,'LED Lighting Estimator'!$H80),"-")</f>
        <v>-</v>
      </c>
      <c r="R80" s="59">
        <f t="shared" si="10"/>
        <v>0</v>
      </c>
      <c r="S80" s="59">
        <f t="shared" si="11"/>
        <v>0</v>
      </c>
      <c r="T80" s="59">
        <f>M80*IFERROR(SUMIFS('LED Costs'!$C$4:$C$22,'LED Costs'!$A$4:$A$22,'LED Lighting Estimator'!$D$5,'LED Costs'!$B$4:$B$22,'LED Lighting Estimator'!$F80)*1000,0)-IF($K80="No",$D80*SUMIFS('Control Benefit'!$E$12:$E$29,'Control Benefit'!$A$12:$A$29,'LED Lighting Estimator'!$D$5,'Control Benefit'!$B$12:$B$29,'LED Lighting Estimator'!$F80),0)</f>
        <v>0</v>
      </c>
      <c r="U80" s="59">
        <f t="shared" si="4"/>
        <v>0</v>
      </c>
      <c r="V80" s="59">
        <f>IFERROR(D80*P80*(SUMIFS('Other Costs'!$F$2:$F$19,'Other Costs'!$A$2:$A$19,'LED Lighting Estimator'!G80,'Other Costs'!$C$2:$C$19,'LED Lighting Estimator'!H80)+$D$9),0)</f>
        <v>0</v>
      </c>
      <c r="W80" s="60">
        <f>IFERROR(D80*Q80*(M80*SUMIFS('LED Costs'!$C$4:$C$22,'LED Costs'!$A$4:$A$22,$D$5,'LED Costs'!$B$4:$B$22,'LED Lighting Estimator'!$F80)/1000+'LED Lighting Estimator'!$D$9),0)</f>
        <v>0</v>
      </c>
      <c r="X80" s="61">
        <f t="shared" si="5"/>
        <v>0</v>
      </c>
      <c r="Y80" s="61">
        <f>IFERROR(($N80-$O80)*'Emission factors'!$D$4,0)</f>
        <v>0</v>
      </c>
      <c r="AA80" s="84"/>
      <c r="AB80" s="84"/>
      <c r="AC80" s="68" t="str">
        <f>IFERROR(D80*INDEX('BEES Data'!$B$6:$AL$9,MATCH('LED Lighting Estimator'!AB80,'BEES Data'!$A$6:$A$9,0),MATCH('LED Lighting Estimator'!AA80,'BEES Data'!$B$5:$AL$5,0)),"-")</f>
        <v>-</v>
      </c>
      <c r="AD80" s="68">
        <f>IFERROR(AC80*INDEX('BEES Data'!$B$14:$AL$14,1,MATCH('LED Lighting Estimator'!AA80,'BEES Data'!$B$5:$AL$5,0)),0)</f>
        <v>0</v>
      </c>
      <c r="AE80" s="69">
        <f t="shared" si="12"/>
        <v>0</v>
      </c>
      <c r="AF80" s="69">
        <f>IFERROR(AD80*INDEX('BEES Data'!$B$15:$AL$15,1,MATCH('LED Lighting Estimator'!AA80,'BEES Data'!$B$5:$AL$5)),0)</f>
        <v>0</v>
      </c>
      <c r="AG80" s="93">
        <f t="shared" si="9"/>
        <v>0</v>
      </c>
    </row>
    <row r="81" spans="2:33" x14ac:dyDescent="0.3">
      <c r="B81" s="84"/>
      <c r="C81" s="31"/>
      <c r="D81" s="85"/>
      <c r="E81" s="31"/>
      <c r="F81" s="31"/>
      <c r="G81" s="31"/>
      <c r="H81" s="31"/>
      <c r="I81" s="31"/>
      <c r="J81" s="31"/>
      <c r="K81" s="31"/>
      <c r="L81" s="86">
        <f>D81*SUMIFS('Lighting Power Density'!$E$3:$E$50,'Lighting Power Density'!$A$3:$A$50,'LED Lighting Estimator'!E81,'Lighting Power Density'!$B$3:$B$50,'LED Lighting Estimator'!G81,'Lighting Power Density'!$C$3:$C$50,'LED Lighting Estimator'!H81)/1000</f>
        <v>0</v>
      </c>
      <c r="M81" s="86">
        <f>D81*SUMIFS('Lighting Power Density'!$E$3:$E$50,'Lighting Power Density'!$A$3:$A$50,'LED Lighting Estimator'!E81,'Lighting Power Density'!$B$3:$B$50,"LED",'Lighting Power Density'!$C$3:$C$50,'LED Lighting Estimator'!H81)/1000</f>
        <v>0</v>
      </c>
      <c r="N81" s="58">
        <f t="shared" si="2"/>
        <v>0</v>
      </c>
      <c r="O81" s="58">
        <f>IFERROR(I81*365.25*M81*J81/7,0)*(1-IF(K81="Yes",SUMIFS('Control Benefit'!$C$12:$C$29,'Control Benefit'!$A$12:$A$29,'LED Lighting Estimator'!$D$5,'Control Benefit'!$B$12:$B$29,'LED Lighting Estimator'!$F81),0))</f>
        <v>0</v>
      </c>
      <c r="P81" s="86" t="str">
        <f>IFERROR((I81*365.25)/SUMIFS('Lighting Power Density'!$F$3:$F$50,'Lighting Power Density'!$A$3:$A$50,'LED Lighting Estimator'!$E81,'Lighting Power Density'!$B$3:$B$50,'LED Lighting Estimator'!$G81,'Lighting Power Density'!$C$3:$C$50,'LED Lighting Estimator'!$H81),"-")</f>
        <v>-</v>
      </c>
      <c r="Q81" s="86" t="str">
        <f>IFERROR((I81*365.25)/SUMIFS('Lighting Power Density'!$F$3:$F$50,'Lighting Power Density'!$A$3:$A$50,'LED Lighting Estimator'!$E81,'Lighting Power Density'!$B$3:$B$50,"LED",'Lighting Power Density'!$C$3:$C$50,'LED Lighting Estimator'!$H81),"-")</f>
        <v>-</v>
      </c>
      <c r="R81" s="59">
        <f t="shared" si="10"/>
        <v>0</v>
      </c>
      <c r="S81" s="59">
        <f t="shared" si="11"/>
        <v>0</v>
      </c>
      <c r="T81" s="59">
        <f>M81*IFERROR(SUMIFS('LED Costs'!$C$4:$C$22,'LED Costs'!$A$4:$A$22,'LED Lighting Estimator'!$D$5,'LED Costs'!$B$4:$B$22,'LED Lighting Estimator'!$F81)*1000,0)-IF($K81="No",$D81*SUMIFS('Control Benefit'!$E$12:$E$29,'Control Benefit'!$A$12:$A$29,'LED Lighting Estimator'!$D$5,'Control Benefit'!$B$12:$B$29,'LED Lighting Estimator'!$F81),0)</f>
        <v>0</v>
      </c>
      <c r="U81" s="59">
        <f t="shared" si="4"/>
        <v>0</v>
      </c>
      <c r="V81" s="59">
        <f>IFERROR(D81*P81*(SUMIFS('Other Costs'!$F$2:$F$19,'Other Costs'!$A$2:$A$19,'LED Lighting Estimator'!G81,'Other Costs'!$C$2:$C$19,'LED Lighting Estimator'!H81)+$D$9),0)</f>
        <v>0</v>
      </c>
      <c r="W81" s="60">
        <f>IFERROR(D81*Q81*(M81*SUMIFS('LED Costs'!$C$4:$C$22,'LED Costs'!$A$4:$A$22,$D$5,'LED Costs'!$B$4:$B$22,'LED Lighting Estimator'!$F81)/1000+'LED Lighting Estimator'!$D$9),0)</f>
        <v>0</v>
      </c>
      <c r="X81" s="61">
        <f t="shared" si="5"/>
        <v>0</v>
      </c>
      <c r="Y81" s="61">
        <f>IFERROR(($N81-$O81)*'Emission factors'!$D$4,0)</f>
        <v>0</v>
      </c>
      <c r="AA81" s="84"/>
      <c r="AB81" s="84"/>
      <c r="AC81" s="68" t="str">
        <f>IFERROR(D81*INDEX('BEES Data'!$B$6:$AL$9,MATCH('LED Lighting Estimator'!AB81,'BEES Data'!$A$6:$A$9,0),MATCH('LED Lighting Estimator'!AA81,'BEES Data'!$B$5:$AL$5,0)),"-")</f>
        <v>-</v>
      </c>
      <c r="AD81" s="68">
        <f>IFERROR(AC81*INDEX('BEES Data'!$B$14:$AL$14,1,MATCH('LED Lighting Estimator'!AA81,'BEES Data'!$B$5:$AL$5,0)),0)</f>
        <v>0</v>
      </c>
      <c r="AE81" s="69">
        <f t="shared" si="12"/>
        <v>0</v>
      </c>
      <c r="AF81" s="69">
        <f>IFERROR(AD81*INDEX('BEES Data'!$B$15:$AL$15,1,MATCH('LED Lighting Estimator'!AA81,'BEES Data'!$B$5:$AL$5)),0)</f>
        <v>0</v>
      </c>
      <c r="AG81" s="93">
        <f t="shared" si="9"/>
        <v>0</v>
      </c>
    </row>
    <row r="82" spans="2:33" x14ac:dyDescent="0.3">
      <c r="B82" s="84"/>
      <c r="C82" s="31"/>
      <c r="D82" s="85"/>
      <c r="E82" s="31"/>
      <c r="F82" s="31"/>
      <c r="G82" s="31"/>
      <c r="H82" s="31"/>
      <c r="I82" s="31"/>
      <c r="J82" s="31"/>
      <c r="K82" s="31"/>
      <c r="L82" s="86">
        <f>D82*SUMIFS('Lighting Power Density'!$E$3:$E$50,'Lighting Power Density'!$A$3:$A$50,'LED Lighting Estimator'!E82,'Lighting Power Density'!$B$3:$B$50,'LED Lighting Estimator'!G82,'Lighting Power Density'!$C$3:$C$50,'LED Lighting Estimator'!H82)/1000</f>
        <v>0</v>
      </c>
      <c r="M82" s="86">
        <f>D82*SUMIFS('Lighting Power Density'!$E$3:$E$50,'Lighting Power Density'!$A$3:$A$50,'LED Lighting Estimator'!E82,'Lighting Power Density'!$B$3:$B$50,"LED",'Lighting Power Density'!$C$3:$C$50,'LED Lighting Estimator'!H82)/1000</f>
        <v>0</v>
      </c>
      <c r="N82" s="58">
        <f t="shared" si="2"/>
        <v>0</v>
      </c>
      <c r="O82" s="58">
        <f>IFERROR(I82*365.25*M82*J82/7,0)*(1-IF(K82="Yes",SUMIFS('Control Benefit'!$C$12:$C$29,'Control Benefit'!$A$12:$A$29,'LED Lighting Estimator'!$D$5,'Control Benefit'!$B$12:$B$29,'LED Lighting Estimator'!$F82),0))</f>
        <v>0</v>
      </c>
      <c r="P82" s="86" t="str">
        <f>IFERROR((I82*365.25)/SUMIFS('Lighting Power Density'!$F$3:$F$50,'Lighting Power Density'!$A$3:$A$50,'LED Lighting Estimator'!$E82,'Lighting Power Density'!$B$3:$B$50,'LED Lighting Estimator'!$G82,'Lighting Power Density'!$C$3:$C$50,'LED Lighting Estimator'!$H82),"-")</f>
        <v>-</v>
      </c>
      <c r="Q82" s="86" t="str">
        <f>IFERROR((I82*365.25)/SUMIFS('Lighting Power Density'!$F$3:$F$50,'Lighting Power Density'!$A$3:$A$50,'LED Lighting Estimator'!$E82,'Lighting Power Density'!$B$3:$B$50,"LED",'Lighting Power Density'!$C$3:$C$50,'LED Lighting Estimator'!$H82),"-")</f>
        <v>-</v>
      </c>
      <c r="R82" s="59">
        <f t="shared" si="10"/>
        <v>0</v>
      </c>
      <c r="S82" s="59">
        <f t="shared" si="11"/>
        <v>0</v>
      </c>
      <c r="T82" s="59">
        <f>M82*IFERROR(SUMIFS('LED Costs'!$C$4:$C$22,'LED Costs'!$A$4:$A$22,'LED Lighting Estimator'!$D$5,'LED Costs'!$B$4:$B$22,'LED Lighting Estimator'!$F82)*1000,0)-IF($K82="No",$D82*SUMIFS('Control Benefit'!$E$12:$E$29,'Control Benefit'!$A$12:$A$29,'LED Lighting Estimator'!$D$5,'Control Benefit'!$B$12:$B$29,'LED Lighting Estimator'!$F82),0)</f>
        <v>0</v>
      </c>
      <c r="U82" s="59">
        <f t="shared" si="4"/>
        <v>0</v>
      </c>
      <c r="V82" s="59">
        <f>IFERROR(D82*P82*(SUMIFS('Other Costs'!$F$2:$F$19,'Other Costs'!$A$2:$A$19,'LED Lighting Estimator'!G82,'Other Costs'!$C$2:$C$19,'LED Lighting Estimator'!H82)+$D$9),0)</f>
        <v>0</v>
      </c>
      <c r="W82" s="60">
        <f>IFERROR(D82*Q82*(M82*SUMIFS('LED Costs'!$C$4:$C$22,'LED Costs'!$A$4:$A$22,$D$5,'LED Costs'!$B$4:$B$22,'LED Lighting Estimator'!$F82)/1000+'LED Lighting Estimator'!$D$9),0)</f>
        <v>0</v>
      </c>
      <c r="X82" s="61">
        <f t="shared" si="5"/>
        <v>0</v>
      </c>
      <c r="Y82" s="61">
        <f>IFERROR(($N82-$O82)*'Emission factors'!$D$4,0)</f>
        <v>0</v>
      </c>
      <c r="AA82" s="84"/>
      <c r="AB82" s="84"/>
      <c r="AC82" s="68" t="str">
        <f>IFERROR(D82*INDEX('BEES Data'!$B$6:$AL$9,MATCH('LED Lighting Estimator'!AB82,'BEES Data'!$A$6:$A$9,0),MATCH('LED Lighting Estimator'!AA82,'BEES Data'!$B$5:$AL$5,0)),"-")</f>
        <v>-</v>
      </c>
      <c r="AD82" s="68">
        <f>IFERROR(AC82*INDEX('BEES Data'!$B$14:$AL$14,1,MATCH('LED Lighting Estimator'!AA82,'BEES Data'!$B$5:$AL$5,0)),0)</f>
        <v>0</v>
      </c>
      <c r="AE82" s="69">
        <f t="shared" si="12"/>
        <v>0</v>
      </c>
      <c r="AF82" s="69">
        <f>IFERROR(AD82*INDEX('BEES Data'!$B$15:$AL$15,1,MATCH('LED Lighting Estimator'!AA82,'BEES Data'!$B$5:$AL$5)),0)</f>
        <v>0</v>
      </c>
      <c r="AG82" s="93">
        <f t="shared" si="9"/>
        <v>0</v>
      </c>
    </row>
    <row r="83" spans="2:33" x14ac:dyDescent="0.3">
      <c r="B83" s="84"/>
      <c r="C83" s="31"/>
      <c r="D83" s="85"/>
      <c r="E83" s="31"/>
      <c r="F83" s="31"/>
      <c r="G83" s="31"/>
      <c r="H83" s="31"/>
      <c r="I83" s="31"/>
      <c r="J83" s="31"/>
      <c r="K83" s="31"/>
      <c r="L83" s="86">
        <f>D83*SUMIFS('Lighting Power Density'!$E$3:$E$50,'Lighting Power Density'!$A$3:$A$50,'LED Lighting Estimator'!E83,'Lighting Power Density'!$B$3:$B$50,'LED Lighting Estimator'!G83,'Lighting Power Density'!$C$3:$C$50,'LED Lighting Estimator'!H83)/1000</f>
        <v>0</v>
      </c>
      <c r="M83" s="86">
        <f>D83*SUMIFS('Lighting Power Density'!$E$3:$E$50,'Lighting Power Density'!$A$3:$A$50,'LED Lighting Estimator'!E83,'Lighting Power Density'!$B$3:$B$50,"LED",'Lighting Power Density'!$C$3:$C$50,'LED Lighting Estimator'!H83)/1000</f>
        <v>0</v>
      </c>
      <c r="N83" s="58">
        <f t="shared" si="2"/>
        <v>0</v>
      </c>
      <c r="O83" s="58">
        <f>IFERROR(I83*365.25*M83*J83/7,0)*(1-IF(K83="Yes",SUMIFS('Control Benefit'!$C$12:$C$29,'Control Benefit'!$A$12:$A$29,'LED Lighting Estimator'!$D$5,'Control Benefit'!$B$12:$B$29,'LED Lighting Estimator'!$F83),0))</f>
        <v>0</v>
      </c>
      <c r="P83" s="86" t="str">
        <f>IFERROR((I83*365.25)/SUMIFS('Lighting Power Density'!$F$3:$F$50,'Lighting Power Density'!$A$3:$A$50,'LED Lighting Estimator'!$E83,'Lighting Power Density'!$B$3:$B$50,'LED Lighting Estimator'!$G83,'Lighting Power Density'!$C$3:$C$50,'LED Lighting Estimator'!$H83),"-")</f>
        <v>-</v>
      </c>
      <c r="Q83" s="86" t="str">
        <f>IFERROR((I83*365.25)/SUMIFS('Lighting Power Density'!$F$3:$F$50,'Lighting Power Density'!$A$3:$A$50,'LED Lighting Estimator'!$E83,'Lighting Power Density'!$B$3:$B$50,"LED",'Lighting Power Density'!$C$3:$C$50,'LED Lighting Estimator'!$H83),"-")</f>
        <v>-</v>
      </c>
      <c r="R83" s="59">
        <f t="shared" ref="R83:R115" si="13">N83*$D$8</f>
        <v>0</v>
      </c>
      <c r="S83" s="59">
        <f t="shared" ref="S83:S115" si="14">O83*$D$8</f>
        <v>0</v>
      </c>
      <c r="T83" s="59">
        <f>M83*IFERROR(SUMIFS('LED Costs'!$C$4:$C$22,'LED Costs'!$A$4:$A$22,'LED Lighting Estimator'!$D$5,'LED Costs'!$B$4:$B$22,'LED Lighting Estimator'!$F83)*1000,0)-IF($K83="No",$D83*SUMIFS('Control Benefit'!$E$12:$E$29,'Control Benefit'!$A$12:$A$29,'LED Lighting Estimator'!$D$5,'Control Benefit'!$B$12:$B$29,'LED Lighting Estimator'!$F83),0)</f>
        <v>0</v>
      </c>
      <c r="U83" s="59">
        <f t="shared" si="4"/>
        <v>0</v>
      </c>
      <c r="V83" s="59">
        <f>IFERROR(D83*P83*(SUMIFS('Other Costs'!$F$2:$F$19,'Other Costs'!$A$2:$A$19,'LED Lighting Estimator'!G83,'Other Costs'!$C$2:$C$19,'LED Lighting Estimator'!H83)+$D$9),0)</f>
        <v>0</v>
      </c>
      <c r="W83" s="60">
        <f>IFERROR(D83*Q83*(M83*SUMIFS('LED Costs'!$C$4:$C$22,'LED Costs'!$A$4:$A$22,$D$5,'LED Costs'!$B$4:$B$22,'LED Lighting Estimator'!$F83)/1000+'LED Lighting Estimator'!$D$9),0)</f>
        <v>0</v>
      </c>
      <c r="X83" s="61">
        <f t="shared" si="5"/>
        <v>0</v>
      </c>
      <c r="Y83" s="61">
        <f>IFERROR(($N83-$O83)*'Emission factors'!$D$4,0)</f>
        <v>0</v>
      </c>
      <c r="AA83" s="84"/>
      <c r="AB83" s="84"/>
      <c r="AC83" s="68" t="str">
        <f>IFERROR(D83*INDEX('BEES Data'!$B$6:$AL$9,MATCH('LED Lighting Estimator'!AB83,'BEES Data'!$A$6:$A$9,0),MATCH('LED Lighting Estimator'!AA83,'BEES Data'!$B$5:$AL$5,0)),"-")</f>
        <v>-</v>
      </c>
      <c r="AD83" s="68">
        <f>IFERROR(AC83*INDEX('BEES Data'!$B$14:$AL$14,1,MATCH('LED Lighting Estimator'!AA83,'BEES Data'!$B$5:$AL$5,0)),0)</f>
        <v>0</v>
      </c>
      <c r="AE83" s="69">
        <f t="shared" ref="AE83:AE114" si="15">AD83*$D$8</f>
        <v>0</v>
      </c>
      <c r="AF83" s="69">
        <f>IFERROR(AD83*INDEX('BEES Data'!$B$15:$AL$15,1,MATCH('LED Lighting Estimator'!AA83,'BEES Data'!$B$5:$AL$5)),0)</f>
        <v>0</v>
      </c>
      <c r="AG83" s="93">
        <f t="shared" si="9"/>
        <v>0</v>
      </c>
    </row>
    <row r="84" spans="2:33" x14ac:dyDescent="0.3">
      <c r="B84" s="84"/>
      <c r="C84" s="31"/>
      <c r="D84" s="85"/>
      <c r="E84" s="31"/>
      <c r="F84" s="31"/>
      <c r="G84" s="31"/>
      <c r="H84" s="31"/>
      <c r="I84" s="31"/>
      <c r="J84" s="31"/>
      <c r="K84" s="31"/>
      <c r="L84" s="86">
        <f>D84*SUMIFS('Lighting Power Density'!$E$3:$E$50,'Lighting Power Density'!$A$3:$A$50,'LED Lighting Estimator'!E84,'Lighting Power Density'!$B$3:$B$50,'LED Lighting Estimator'!G84,'Lighting Power Density'!$C$3:$C$50,'LED Lighting Estimator'!H84)/1000</f>
        <v>0</v>
      </c>
      <c r="M84" s="86">
        <f>D84*SUMIFS('Lighting Power Density'!$E$3:$E$50,'Lighting Power Density'!$A$3:$A$50,'LED Lighting Estimator'!E84,'Lighting Power Density'!$B$3:$B$50,"LED",'Lighting Power Density'!$C$3:$C$50,'LED Lighting Estimator'!H84)/1000</f>
        <v>0</v>
      </c>
      <c r="N84" s="58">
        <f t="shared" ref="N84:N115" si="16">IFERROR(I84*365.25*L84*J84/7,0)</f>
        <v>0</v>
      </c>
      <c r="O84" s="58">
        <f>IFERROR(I84*365.25*M84*J84/7,0)*(1-IF(K84="Yes",SUMIFS('Control Benefit'!$C$12:$C$29,'Control Benefit'!$A$12:$A$29,'LED Lighting Estimator'!$D$5,'Control Benefit'!$B$12:$B$29,'LED Lighting Estimator'!$F84),0))</f>
        <v>0</v>
      </c>
      <c r="P84" s="86" t="str">
        <f>IFERROR((I84*365.25)/SUMIFS('Lighting Power Density'!$F$3:$F$50,'Lighting Power Density'!$A$3:$A$50,'LED Lighting Estimator'!$E84,'Lighting Power Density'!$B$3:$B$50,'LED Lighting Estimator'!$G84,'Lighting Power Density'!$C$3:$C$50,'LED Lighting Estimator'!$H84),"-")</f>
        <v>-</v>
      </c>
      <c r="Q84" s="86" t="str">
        <f>IFERROR((I84*365.25)/SUMIFS('Lighting Power Density'!$F$3:$F$50,'Lighting Power Density'!$A$3:$A$50,'LED Lighting Estimator'!$E84,'Lighting Power Density'!$B$3:$B$50,"LED",'Lighting Power Density'!$C$3:$C$50,'LED Lighting Estimator'!$H84),"-")</f>
        <v>-</v>
      </c>
      <c r="R84" s="59">
        <f t="shared" si="13"/>
        <v>0</v>
      </c>
      <c r="S84" s="59">
        <f t="shared" si="14"/>
        <v>0</v>
      </c>
      <c r="T84" s="59">
        <f>M84*IFERROR(SUMIFS('LED Costs'!$C$4:$C$22,'LED Costs'!$A$4:$A$22,'LED Lighting Estimator'!$D$5,'LED Costs'!$B$4:$B$22,'LED Lighting Estimator'!$F84)*1000,0)-IF($K84="No",$D84*SUMIFS('Control Benefit'!$E$12:$E$29,'Control Benefit'!$A$12:$A$29,'LED Lighting Estimator'!$D$5,'Control Benefit'!$B$12:$B$29,'LED Lighting Estimator'!$F84),0)</f>
        <v>0</v>
      </c>
      <c r="U84" s="59">
        <f t="shared" ref="U84:U115" si="17">(T84+($D$10*D84))*(1+$D$11)*(1+$D$12)*(1+$D$13)*(1+$D$14)</f>
        <v>0</v>
      </c>
      <c r="V84" s="59">
        <f>IFERROR(D84*P84*(SUMIFS('Other Costs'!$F$2:$F$19,'Other Costs'!$A$2:$A$19,'LED Lighting Estimator'!G84,'Other Costs'!$C$2:$C$19,'LED Lighting Estimator'!H84)+$D$9),0)</f>
        <v>0</v>
      </c>
      <c r="W84" s="60">
        <f>IFERROR(D84*Q84*(M84*SUMIFS('LED Costs'!$C$4:$C$22,'LED Costs'!$A$4:$A$22,$D$5,'LED Costs'!$B$4:$B$22,'LED Lighting Estimator'!$F84)/1000+'LED Lighting Estimator'!$D$9),0)</f>
        <v>0</v>
      </c>
      <c r="X84" s="61">
        <f t="shared" ref="X84:X115" si="18">IFERROR(T84/((R84+V84)-(S84+W84)),0)</f>
        <v>0</v>
      </c>
      <c r="Y84" s="61">
        <f>IFERROR(($N84-$O84)*'Emission factors'!$D$4,0)</f>
        <v>0</v>
      </c>
      <c r="AA84" s="84"/>
      <c r="AB84" s="84"/>
      <c r="AC84" s="68" t="str">
        <f>IFERROR(D84*INDEX('BEES Data'!$B$6:$AL$9,MATCH('LED Lighting Estimator'!AB84,'BEES Data'!$A$6:$A$9,0),MATCH('LED Lighting Estimator'!AA84,'BEES Data'!$B$5:$AL$5,0)),"-")</f>
        <v>-</v>
      </c>
      <c r="AD84" s="68">
        <f>IFERROR(AC84*INDEX('BEES Data'!$B$14:$AL$14,1,MATCH('LED Lighting Estimator'!AA84,'BEES Data'!$B$5:$AL$5,0)),0)</f>
        <v>0</v>
      </c>
      <c r="AE84" s="69">
        <f t="shared" si="15"/>
        <v>0</v>
      </c>
      <c r="AF84" s="69">
        <f>IFERROR(AD84*INDEX('BEES Data'!$B$15:$AL$15,1,MATCH('LED Lighting Estimator'!AA84,'BEES Data'!$B$5:$AL$5)),0)</f>
        <v>0</v>
      </c>
      <c r="AG84" s="93">
        <f t="shared" ref="AG84:AG115" si="19">IFERROR(AF84/AE84,0)</f>
        <v>0</v>
      </c>
    </row>
    <row r="85" spans="2:33" x14ac:dyDescent="0.3">
      <c r="B85" s="84"/>
      <c r="C85" s="31"/>
      <c r="D85" s="85"/>
      <c r="E85" s="31"/>
      <c r="F85" s="31"/>
      <c r="G85" s="31"/>
      <c r="H85" s="31"/>
      <c r="I85" s="31"/>
      <c r="J85" s="31"/>
      <c r="K85" s="31"/>
      <c r="L85" s="86">
        <f>D85*SUMIFS('Lighting Power Density'!$E$3:$E$50,'Lighting Power Density'!$A$3:$A$50,'LED Lighting Estimator'!E85,'Lighting Power Density'!$B$3:$B$50,'LED Lighting Estimator'!G85,'Lighting Power Density'!$C$3:$C$50,'LED Lighting Estimator'!H85)/1000</f>
        <v>0</v>
      </c>
      <c r="M85" s="86">
        <f>D85*SUMIFS('Lighting Power Density'!$E$3:$E$50,'Lighting Power Density'!$A$3:$A$50,'LED Lighting Estimator'!E85,'Lighting Power Density'!$B$3:$B$50,"LED",'Lighting Power Density'!$C$3:$C$50,'LED Lighting Estimator'!H85)/1000</f>
        <v>0</v>
      </c>
      <c r="N85" s="58">
        <f t="shared" si="16"/>
        <v>0</v>
      </c>
      <c r="O85" s="58">
        <f>IFERROR(I85*365.25*M85*J85/7,0)*(1-IF(K85="Yes",SUMIFS('Control Benefit'!$C$12:$C$29,'Control Benefit'!$A$12:$A$29,'LED Lighting Estimator'!$D$5,'Control Benefit'!$B$12:$B$29,'LED Lighting Estimator'!$F85),0))</f>
        <v>0</v>
      </c>
      <c r="P85" s="86" t="str">
        <f>IFERROR((I85*365.25)/SUMIFS('Lighting Power Density'!$F$3:$F$50,'Lighting Power Density'!$A$3:$A$50,'LED Lighting Estimator'!$E85,'Lighting Power Density'!$B$3:$B$50,'LED Lighting Estimator'!$G85,'Lighting Power Density'!$C$3:$C$50,'LED Lighting Estimator'!$H85),"-")</f>
        <v>-</v>
      </c>
      <c r="Q85" s="86" t="str">
        <f>IFERROR((I85*365.25)/SUMIFS('Lighting Power Density'!$F$3:$F$50,'Lighting Power Density'!$A$3:$A$50,'LED Lighting Estimator'!$E85,'Lighting Power Density'!$B$3:$B$50,"LED",'Lighting Power Density'!$C$3:$C$50,'LED Lighting Estimator'!$H85),"-")</f>
        <v>-</v>
      </c>
      <c r="R85" s="59">
        <f t="shared" si="13"/>
        <v>0</v>
      </c>
      <c r="S85" s="59">
        <f t="shared" si="14"/>
        <v>0</v>
      </c>
      <c r="T85" s="59">
        <f>M85*IFERROR(SUMIFS('LED Costs'!$C$4:$C$22,'LED Costs'!$A$4:$A$22,'LED Lighting Estimator'!$D$5,'LED Costs'!$B$4:$B$22,'LED Lighting Estimator'!$F85)*1000,0)-IF($K85="No",$D85*SUMIFS('Control Benefit'!$E$12:$E$29,'Control Benefit'!$A$12:$A$29,'LED Lighting Estimator'!$D$5,'Control Benefit'!$B$12:$B$29,'LED Lighting Estimator'!$F85),0)</f>
        <v>0</v>
      </c>
      <c r="U85" s="59">
        <f t="shared" si="17"/>
        <v>0</v>
      </c>
      <c r="V85" s="59">
        <f>IFERROR(D85*P85*(SUMIFS('Other Costs'!$F$2:$F$19,'Other Costs'!$A$2:$A$19,'LED Lighting Estimator'!G85,'Other Costs'!$C$2:$C$19,'LED Lighting Estimator'!H85)+$D$9),0)</f>
        <v>0</v>
      </c>
      <c r="W85" s="60">
        <f>IFERROR(D85*Q85*(M85*SUMIFS('LED Costs'!$C$4:$C$22,'LED Costs'!$A$4:$A$22,$D$5,'LED Costs'!$B$4:$B$22,'LED Lighting Estimator'!$F85)/1000+'LED Lighting Estimator'!$D$9),0)</f>
        <v>0</v>
      </c>
      <c r="X85" s="61">
        <f t="shared" si="18"/>
        <v>0</v>
      </c>
      <c r="Y85" s="61">
        <f>IFERROR(($N85-$O85)*'Emission factors'!$D$4,0)</f>
        <v>0</v>
      </c>
      <c r="AA85" s="84"/>
      <c r="AB85" s="84"/>
      <c r="AC85" s="68" t="str">
        <f>IFERROR(D85*INDEX('BEES Data'!$B$6:$AL$9,MATCH('LED Lighting Estimator'!AB85,'BEES Data'!$A$6:$A$9,0),MATCH('LED Lighting Estimator'!AA85,'BEES Data'!$B$5:$AL$5,0)),"-")</f>
        <v>-</v>
      </c>
      <c r="AD85" s="68">
        <f>IFERROR(AC85*INDEX('BEES Data'!$B$14:$AL$14,1,MATCH('LED Lighting Estimator'!AA85,'BEES Data'!$B$5:$AL$5,0)),0)</f>
        <v>0</v>
      </c>
      <c r="AE85" s="69">
        <f t="shared" si="15"/>
        <v>0</v>
      </c>
      <c r="AF85" s="69">
        <f>IFERROR(AD85*INDEX('BEES Data'!$B$15:$AL$15,1,MATCH('LED Lighting Estimator'!AA85,'BEES Data'!$B$5:$AL$5)),0)</f>
        <v>0</v>
      </c>
      <c r="AG85" s="93">
        <f t="shared" si="19"/>
        <v>0</v>
      </c>
    </row>
    <row r="86" spans="2:33" x14ac:dyDescent="0.3">
      <c r="B86" s="84"/>
      <c r="C86" s="31"/>
      <c r="D86" s="85"/>
      <c r="E86" s="31"/>
      <c r="F86" s="31"/>
      <c r="G86" s="31"/>
      <c r="H86" s="31"/>
      <c r="I86" s="31"/>
      <c r="J86" s="31"/>
      <c r="K86" s="31"/>
      <c r="L86" s="86">
        <f>D86*SUMIFS('Lighting Power Density'!$E$3:$E$50,'Lighting Power Density'!$A$3:$A$50,'LED Lighting Estimator'!E86,'Lighting Power Density'!$B$3:$B$50,'LED Lighting Estimator'!G86,'Lighting Power Density'!$C$3:$C$50,'LED Lighting Estimator'!H86)/1000</f>
        <v>0</v>
      </c>
      <c r="M86" s="86">
        <f>D86*SUMIFS('Lighting Power Density'!$E$3:$E$50,'Lighting Power Density'!$A$3:$A$50,'LED Lighting Estimator'!E86,'Lighting Power Density'!$B$3:$B$50,"LED",'Lighting Power Density'!$C$3:$C$50,'LED Lighting Estimator'!H86)/1000</f>
        <v>0</v>
      </c>
      <c r="N86" s="58">
        <f t="shared" si="16"/>
        <v>0</v>
      </c>
      <c r="O86" s="58">
        <f>IFERROR(I86*365.25*M86*J86/7,0)*(1-IF(K86="Yes",SUMIFS('Control Benefit'!$C$12:$C$29,'Control Benefit'!$A$12:$A$29,'LED Lighting Estimator'!$D$5,'Control Benefit'!$B$12:$B$29,'LED Lighting Estimator'!$F86),0))</f>
        <v>0</v>
      </c>
      <c r="P86" s="86" t="str">
        <f>IFERROR((I86*365.25)/SUMIFS('Lighting Power Density'!$F$3:$F$50,'Lighting Power Density'!$A$3:$A$50,'LED Lighting Estimator'!$E86,'Lighting Power Density'!$B$3:$B$50,'LED Lighting Estimator'!$G86,'Lighting Power Density'!$C$3:$C$50,'LED Lighting Estimator'!$H86),"-")</f>
        <v>-</v>
      </c>
      <c r="Q86" s="86" t="str">
        <f>IFERROR((I86*365.25)/SUMIFS('Lighting Power Density'!$F$3:$F$50,'Lighting Power Density'!$A$3:$A$50,'LED Lighting Estimator'!$E86,'Lighting Power Density'!$B$3:$B$50,"LED",'Lighting Power Density'!$C$3:$C$50,'LED Lighting Estimator'!$H86),"-")</f>
        <v>-</v>
      </c>
      <c r="R86" s="59">
        <f t="shared" si="13"/>
        <v>0</v>
      </c>
      <c r="S86" s="59">
        <f t="shared" si="14"/>
        <v>0</v>
      </c>
      <c r="T86" s="59">
        <f>M86*IFERROR(SUMIFS('LED Costs'!$C$4:$C$22,'LED Costs'!$A$4:$A$22,'LED Lighting Estimator'!$D$5,'LED Costs'!$B$4:$B$22,'LED Lighting Estimator'!$F86)*1000,0)-IF($K86="No",$D86*SUMIFS('Control Benefit'!$E$12:$E$29,'Control Benefit'!$A$12:$A$29,'LED Lighting Estimator'!$D$5,'Control Benefit'!$B$12:$B$29,'LED Lighting Estimator'!$F86),0)</f>
        <v>0</v>
      </c>
      <c r="U86" s="59">
        <f t="shared" si="17"/>
        <v>0</v>
      </c>
      <c r="V86" s="59">
        <f>IFERROR(D86*P86*(SUMIFS('Other Costs'!$F$2:$F$19,'Other Costs'!$A$2:$A$19,'LED Lighting Estimator'!G86,'Other Costs'!$C$2:$C$19,'LED Lighting Estimator'!H86)+$D$9),0)</f>
        <v>0</v>
      </c>
      <c r="W86" s="60">
        <f>IFERROR(D86*Q86*(M86*SUMIFS('LED Costs'!$C$4:$C$22,'LED Costs'!$A$4:$A$22,$D$5,'LED Costs'!$B$4:$B$22,'LED Lighting Estimator'!$F86)/1000+'LED Lighting Estimator'!$D$9),0)</f>
        <v>0</v>
      </c>
      <c r="X86" s="61">
        <f t="shared" si="18"/>
        <v>0</v>
      </c>
      <c r="Y86" s="61">
        <f>IFERROR(($N86-$O86)*'Emission factors'!$D$4,0)</f>
        <v>0</v>
      </c>
      <c r="AA86" s="84"/>
      <c r="AB86" s="84"/>
      <c r="AC86" s="68" t="str">
        <f>IFERROR(D86*INDEX('BEES Data'!$B$6:$AL$9,MATCH('LED Lighting Estimator'!AB86,'BEES Data'!$A$6:$A$9,0),MATCH('LED Lighting Estimator'!AA86,'BEES Data'!$B$5:$AL$5,0)),"-")</f>
        <v>-</v>
      </c>
      <c r="AD86" s="68">
        <f>IFERROR(AC86*INDEX('BEES Data'!$B$14:$AL$14,1,MATCH('LED Lighting Estimator'!AA86,'BEES Data'!$B$5:$AL$5,0)),0)</f>
        <v>0</v>
      </c>
      <c r="AE86" s="69">
        <f t="shared" si="15"/>
        <v>0</v>
      </c>
      <c r="AF86" s="69">
        <f>IFERROR(AD86*INDEX('BEES Data'!$B$15:$AL$15,1,MATCH('LED Lighting Estimator'!AA86,'BEES Data'!$B$5:$AL$5)),0)</f>
        <v>0</v>
      </c>
      <c r="AG86" s="93">
        <f t="shared" si="19"/>
        <v>0</v>
      </c>
    </row>
    <row r="87" spans="2:33" x14ac:dyDescent="0.3">
      <c r="B87" s="84"/>
      <c r="C87" s="31"/>
      <c r="D87" s="85"/>
      <c r="E87" s="31"/>
      <c r="F87" s="31"/>
      <c r="G87" s="31"/>
      <c r="H87" s="31"/>
      <c r="I87" s="31"/>
      <c r="J87" s="31"/>
      <c r="K87" s="31"/>
      <c r="L87" s="86">
        <f>D87*SUMIFS('Lighting Power Density'!$E$3:$E$50,'Lighting Power Density'!$A$3:$A$50,'LED Lighting Estimator'!E87,'Lighting Power Density'!$B$3:$B$50,'LED Lighting Estimator'!G87,'Lighting Power Density'!$C$3:$C$50,'LED Lighting Estimator'!H87)/1000</f>
        <v>0</v>
      </c>
      <c r="M87" s="86">
        <f>D87*SUMIFS('Lighting Power Density'!$E$3:$E$50,'Lighting Power Density'!$A$3:$A$50,'LED Lighting Estimator'!E87,'Lighting Power Density'!$B$3:$B$50,"LED",'Lighting Power Density'!$C$3:$C$50,'LED Lighting Estimator'!H87)/1000</f>
        <v>0</v>
      </c>
      <c r="N87" s="58">
        <f t="shared" si="16"/>
        <v>0</v>
      </c>
      <c r="O87" s="58">
        <f>IFERROR(I87*365.25*M87*J87/7,0)*(1-IF(K87="Yes",SUMIFS('Control Benefit'!$C$12:$C$29,'Control Benefit'!$A$12:$A$29,'LED Lighting Estimator'!$D$5,'Control Benefit'!$B$12:$B$29,'LED Lighting Estimator'!$F87),0))</f>
        <v>0</v>
      </c>
      <c r="P87" s="86" t="str">
        <f>IFERROR((I87*365.25)/SUMIFS('Lighting Power Density'!$F$3:$F$50,'Lighting Power Density'!$A$3:$A$50,'LED Lighting Estimator'!$E87,'Lighting Power Density'!$B$3:$B$50,'LED Lighting Estimator'!$G87,'Lighting Power Density'!$C$3:$C$50,'LED Lighting Estimator'!$H87),"-")</f>
        <v>-</v>
      </c>
      <c r="Q87" s="86" t="str">
        <f>IFERROR((I87*365.25)/SUMIFS('Lighting Power Density'!$F$3:$F$50,'Lighting Power Density'!$A$3:$A$50,'LED Lighting Estimator'!$E87,'Lighting Power Density'!$B$3:$B$50,"LED",'Lighting Power Density'!$C$3:$C$50,'LED Lighting Estimator'!$H87),"-")</f>
        <v>-</v>
      </c>
      <c r="R87" s="59">
        <f t="shared" si="13"/>
        <v>0</v>
      </c>
      <c r="S87" s="59">
        <f t="shared" si="14"/>
        <v>0</v>
      </c>
      <c r="T87" s="59">
        <f>M87*IFERROR(SUMIFS('LED Costs'!$C$4:$C$22,'LED Costs'!$A$4:$A$22,'LED Lighting Estimator'!$D$5,'LED Costs'!$B$4:$B$22,'LED Lighting Estimator'!$F87)*1000,0)-IF($K87="No",$D87*SUMIFS('Control Benefit'!$E$12:$E$29,'Control Benefit'!$A$12:$A$29,'LED Lighting Estimator'!$D$5,'Control Benefit'!$B$12:$B$29,'LED Lighting Estimator'!$F87),0)</f>
        <v>0</v>
      </c>
      <c r="U87" s="59">
        <f t="shared" si="17"/>
        <v>0</v>
      </c>
      <c r="V87" s="59">
        <f>IFERROR(D87*P87*(SUMIFS('Other Costs'!$F$2:$F$19,'Other Costs'!$A$2:$A$19,'LED Lighting Estimator'!G87,'Other Costs'!$C$2:$C$19,'LED Lighting Estimator'!H87)+$D$9),0)</f>
        <v>0</v>
      </c>
      <c r="W87" s="60">
        <f>IFERROR(D87*Q87*(M87*SUMIFS('LED Costs'!$C$4:$C$22,'LED Costs'!$A$4:$A$22,$D$5,'LED Costs'!$B$4:$B$22,'LED Lighting Estimator'!$F87)/1000+'LED Lighting Estimator'!$D$9),0)</f>
        <v>0</v>
      </c>
      <c r="X87" s="61">
        <f t="shared" si="18"/>
        <v>0</v>
      </c>
      <c r="Y87" s="61">
        <f>IFERROR(($N87-$O87)*'Emission factors'!$D$4,0)</f>
        <v>0</v>
      </c>
      <c r="AA87" s="84"/>
      <c r="AB87" s="84"/>
      <c r="AC87" s="68" t="str">
        <f>IFERROR(D87*INDEX('BEES Data'!$B$6:$AL$9,MATCH('LED Lighting Estimator'!AB87,'BEES Data'!$A$6:$A$9,0),MATCH('LED Lighting Estimator'!AA87,'BEES Data'!$B$5:$AL$5,0)),"-")</f>
        <v>-</v>
      </c>
      <c r="AD87" s="68">
        <f>IFERROR(AC87*INDEX('BEES Data'!$B$14:$AL$14,1,MATCH('LED Lighting Estimator'!AA87,'BEES Data'!$B$5:$AL$5,0)),0)</f>
        <v>0</v>
      </c>
      <c r="AE87" s="69">
        <f t="shared" si="15"/>
        <v>0</v>
      </c>
      <c r="AF87" s="69">
        <f>IFERROR(AD87*INDEX('BEES Data'!$B$15:$AL$15,1,MATCH('LED Lighting Estimator'!AA87,'BEES Data'!$B$5:$AL$5)),0)</f>
        <v>0</v>
      </c>
      <c r="AG87" s="93">
        <f t="shared" si="19"/>
        <v>0</v>
      </c>
    </row>
    <row r="88" spans="2:33" x14ac:dyDescent="0.3">
      <c r="B88" s="84"/>
      <c r="C88" s="31"/>
      <c r="D88" s="85"/>
      <c r="E88" s="31"/>
      <c r="F88" s="31"/>
      <c r="G88" s="31"/>
      <c r="H88" s="31"/>
      <c r="I88" s="31"/>
      <c r="J88" s="31"/>
      <c r="K88" s="31"/>
      <c r="L88" s="86">
        <f>D88*SUMIFS('Lighting Power Density'!$E$3:$E$50,'Lighting Power Density'!$A$3:$A$50,'LED Lighting Estimator'!E88,'Lighting Power Density'!$B$3:$B$50,'LED Lighting Estimator'!G88,'Lighting Power Density'!$C$3:$C$50,'LED Lighting Estimator'!H88)/1000</f>
        <v>0</v>
      </c>
      <c r="M88" s="86">
        <f>D88*SUMIFS('Lighting Power Density'!$E$3:$E$50,'Lighting Power Density'!$A$3:$A$50,'LED Lighting Estimator'!E88,'Lighting Power Density'!$B$3:$B$50,"LED",'Lighting Power Density'!$C$3:$C$50,'LED Lighting Estimator'!H88)/1000</f>
        <v>0</v>
      </c>
      <c r="N88" s="58">
        <f t="shared" si="16"/>
        <v>0</v>
      </c>
      <c r="O88" s="58">
        <f>IFERROR(I88*365.25*M88*J88/7,0)*(1-IF(K88="Yes",SUMIFS('Control Benefit'!$C$12:$C$29,'Control Benefit'!$A$12:$A$29,'LED Lighting Estimator'!$D$5,'Control Benefit'!$B$12:$B$29,'LED Lighting Estimator'!$F88),0))</f>
        <v>0</v>
      </c>
      <c r="P88" s="86" t="str">
        <f>IFERROR((I88*365.25)/SUMIFS('Lighting Power Density'!$F$3:$F$50,'Lighting Power Density'!$A$3:$A$50,'LED Lighting Estimator'!$E88,'Lighting Power Density'!$B$3:$B$50,'LED Lighting Estimator'!$G88,'Lighting Power Density'!$C$3:$C$50,'LED Lighting Estimator'!$H88),"-")</f>
        <v>-</v>
      </c>
      <c r="Q88" s="86" t="str">
        <f>IFERROR((I88*365.25)/SUMIFS('Lighting Power Density'!$F$3:$F$50,'Lighting Power Density'!$A$3:$A$50,'LED Lighting Estimator'!$E88,'Lighting Power Density'!$B$3:$B$50,"LED",'Lighting Power Density'!$C$3:$C$50,'LED Lighting Estimator'!$H88),"-")</f>
        <v>-</v>
      </c>
      <c r="R88" s="59">
        <f t="shared" si="13"/>
        <v>0</v>
      </c>
      <c r="S88" s="59">
        <f t="shared" si="14"/>
        <v>0</v>
      </c>
      <c r="T88" s="59">
        <f>M88*IFERROR(SUMIFS('LED Costs'!$C$4:$C$22,'LED Costs'!$A$4:$A$22,'LED Lighting Estimator'!$D$5,'LED Costs'!$B$4:$B$22,'LED Lighting Estimator'!$F88)*1000,0)-IF($K88="No",$D88*SUMIFS('Control Benefit'!$E$12:$E$29,'Control Benefit'!$A$12:$A$29,'LED Lighting Estimator'!$D$5,'Control Benefit'!$B$12:$B$29,'LED Lighting Estimator'!$F88),0)</f>
        <v>0</v>
      </c>
      <c r="U88" s="59">
        <f t="shared" si="17"/>
        <v>0</v>
      </c>
      <c r="V88" s="59">
        <f>IFERROR(D88*P88*(SUMIFS('Other Costs'!$F$2:$F$19,'Other Costs'!$A$2:$A$19,'LED Lighting Estimator'!G88,'Other Costs'!$C$2:$C$19,'LED Lighting Estimator'!H88)+$D$9),0)</f>
        <v>0</v>
      </c>
      <c r="W88" s="60">
        <f>IFERROR(D88*Q88*(M88*SUMIFS('LED Costs'!$C$4:$C$22,'LED Costs'!$A$4:$A$22,$D$5,'LED Costs'!$B$4:$B$22,'LED Lighting Estimator'!$F88)/1000+'LED Lighting Estimator'!$D$9),0)</f>
        <v>0</v>
      </c>
      <c r="X88" s="61">
        <f t="shared" si="18"/>
        <v>0</v>
      </c>
      <c r="Y88" s="61">
        <f>IFERROR(($N88-$O88)*'Emission factors'!$D$4,0)</f>
        <v>0</v>
      </c>
      <c r="AA88" s="84"/>
      <c r="AB88" s="84"/>
      <c r="AC88" s="68" t="str">
        <f>IFERROR(D88*INDEX('BEES Data'!$B$6:$AL$9,MATCH('LED Lighting Estimator'!AB88,'BEES Data'!$A$6:$A$9,0),MATCH('LED Lighting Estimator'!AA88,'BEES Data'!$B$5:$AL$5,0)),"-")</f>
        <v>-</v>
      </c>
      <c r="AD88" s="68">
        <f>IFERROR(AC88*INDEX('BEES Data'!$B$14:$AL$14,1,MATCH('LED Lighting Estimator'!AA88,'BEES Data'!$B$5:$AL$5,0)),0)</f>
        <v>0</v>
      </c>
      <c r="AE88" s="69">
        <f t="shared" si="15"/>
        <v>0</v>
      </c>
      <c r="AF88" s="69">
        <f>IFERROR(AD88*INDEX('BEES Data'!$B$15:$AL$15,1,MATCH('LED Lighting Estimator'!AA88,'BEES Data'!$B$5:$AL$5)),0)</f>
        <v>0</v>
      </c>
      <c r="AG88" s="93">
        <f t="shared" si="19"/>
        <v>0</v>
      </c>
    </row>
    <row r="89" spans="2:33" x14ac:dyDescent="0.3">
      <c r="B89" s="84"/>
      <c r="C89" s="31"/>
      <c r="D89" s="85"/>
      <c r="E89" s="31"/>
      <c r="F89" s="31"/>
      <c r="G89" s="31"/>
      <c r="H89" s="31"/>
      <c r="I89" s="31"/>
      <c r="J89" s="31"/>
      <c r="K89" s="31"/>
      <c r="L89" s="86">
        <f>D89*SUMIFS('Lighting Power Density'!$E$3:$E$50,'Lighting Power Density'!$A$3:$A$50,'LED Lighting Estimator'!E89,'Lighting Power Density'!$B$3:$B$50,'LED Lighting Estimator'!G89,'Lighting Power Density'!$C$3:$C$50,'LED Lighting Estimator'!H89)/1000</f>
        <v>0</v>
      </c>
      <c r="M89" s="86">
        <f>D89*SUMIFS('Lighting Power Density'!$E$3:$E$50,'Lighting Power Density'!$A$3:$A$50,'LED Lighting Estimator'!E89,'Lighting Power Density'!$B$3:$B$50,"LED",'Lighting Power Density'!$C$3:$C$50,'LED Lighting Estimator'!H89)/1000</f>
        <v>0</v>
      </c>
      <c r="N89" s="58">
        <f t="shared" si="16"/>
        <v>0</v>
      </c>
      <c r="O89" s="58">
        <f>IFERROR(I89*365.25*M89*J89/7,0)*(1-IF(K89="Yes",SUMIFS('Control Benefit'!$C$12:$C$29,'Control Benefit'!$A$12:$A$29,'LED Lighting Estimator'!$D$5,'Control Benefit'!$B$12:$B$29,'LED Lighting Estimator'!$F89),0))</f>
        <v>0</v>
      </c>
      <c r="P89" s="86" t="str">
        <f>IFERROR((I89*365.25)/SUMIFS('Lighting Power Density'!$F$3:$F$50,'Lighting Power Density'!$A$3:$A$50,'LED Lighting Estimator'!$E89,'Lighting Power Density'!$B$3:$B$50,'LED Lighting Estimator'!$G89,'Lighting Power Density'!$C$3:$C$50,'LED Lighting Estimator'!$H89),"-")</f>
        <v>-</v>
      </c>
      <c r="Q89" s="86" t="str">
        <f>IFERROR((I89*365.25)/SUMIFS('Lighting Power Density'!$F$3:$F$50,'Lighting Power Density'!$A$3:$A$50,'LED Lighting Estimator'!$E89,'Lighting Power Density'!$B$3:$B$50,"LED",'Lighting Power Density'!$C$3:$C$50,'LED Lighting Estimator'!$H89),"-")</f>
        <v>-</v>
      </c>
      <c r="R89" s="59">
        <f t="shared" si="13"/>
        <v>0</v>
      </c>
      <c r="S89" s="59">
        <f t="shared" si="14"/>
        <v>0</v>
      </c>
      <c r="T89" s="59">
        <f>M89*IFERROR(SUMIFS('LED Costs'!$C$4:$C$22,'LED Costs'!$A$4:$A$22,'LED Lighting Estimator'!$D$5,'LED Costs'!$B$4:$B$22,'LED Lighting Estimator'!$F89)*1000,0)-IF($K89="No",$D89*SUMIFS('Control Benefit'!$E$12:$E$29,'Control Benefit'!$A$12:$A$29,'LED Lighting Estimator'!$D$5,'Control Benefit'!$B$12:$B$29,'LED Lighting Estimator'!$F89),0)</f>
        <v>0</v>
      </c>
      <c r="U89" s="59">
        <f t="shared" si="17"/>
        <v>0</v>
      </c>
      <c r="V89" s="59">
        <f>IFERROR(D89*P89*(SUMIFS('Other Costs'!$F$2:$F$19,'Other Costs'!$A$2:$A$19,'LED Lighting Estimator'!G89,'Other Costs'!$C$2:$C$19,'LED Lighting Estimator'!H89)+$D$9),0)</f>
        <v>0</v>
      </c>
      <c r="W89" s="60">
        <f>IFERROR(D89*Q89*(M89*SUMIFS('LED Costs'!$C$4:$C$22,'LED Costs'!$A$4:$A$22,$D$5,'LED Costs'!$B$4:$B$22,'LED Lighting Estimator'!$F89)/1000+'LED Lighting Estimator'!$D$9),0)</f>
        <v>0</v>
      </c>
      <c r="X89" s="61">
        <f t="shared" si="18"/>
        <v>0</v>
      </c>
      <c r="Y89" s="61">
        <f>IFERROR(($N89-$O89)*'Emission factors'!$D$4,0)</f>
        <v>0</v>
      </c>
      <c r="AA89" s="84"/>
      <c r="AB89" s="84"/>
      <c r="AC89" s="68" t="str">
        <f>IFERROR(D89*INDEX('BEES Data'!$B$6:$AL$9,MATCH('LED Lighting Estimator'!AB89,'BEES Data'!$A$6:$A$9,0),MATCH('LED Lighting Estimator'!AA89,'BEES Data'!$B$5:$AL$5,0)),"-")</f>
        <v>-</v>
      </c>
      <c r="AD89" s="68">
        <f>IFERROR(AC89*INDEX('BEES Data'!$B$14:$AL$14,1,MATCH('LED Lighting Estimator'!AA89,'BEES Data'!$B$5:$AL$5,0)),0)</f>
        <v>0</v>
      </c>
      <c r="AE89" s="69">
        <f t="shared" si="15"/>
        <v>0</v>
      </c>
      <c r="AF89" s="69">
        <f>IFERROR(AD89*INDEX('BEES Data'!$B$15:$AL$15,1,MATCH('LED Lighting Estimator'!AA89,'BEES Data'!$B$5:$AL$5)),0)</f>
        <v>0</v>
      </c>
      <c r="AG89" s="93">
        <f t="shared" si="19"/>
        <v>0</v>
      </c>
    </row>
    <row r="90" spans="2:33" x14ac:dyDescent="0.3">
      <c r="B90" s="84"/>
      <c r="C90" s="31"/>
      <c r="D90" s="85"/>
      <c r="E90" s="31"/>
      <c r="F90" s="31"/>
      <c r="G90" s="31"/>
      <c r="H90" s="31"/>
      <c r="I90" s="31"/>
      <c r="J90" s="31"/>
      <c r="K90" s="31"/>
      <c r="L90" s="86">
        <f>D90*SUMIFS('Lighting Power Density'!$E$3:$E$50,'Lighting Power Density'!$A$3:$A$50,'LED Lighting Estimator'!E90,'Lighting Power Density'!$B$3:$B$50,'LED Lighting Estimator'!G90,'Lighting Power Density'!$C$3:$C$50,'LED Lighting Estimator'!H90)/1000</f>
        <v>0</v>
      </c>
      <c r="M90" s="86">
        <f>D90*SUMIFS('Lighting Power Density'!$E$3:$E$50,'Lighting Power Density'!$A$3:$A$50,'LED Lighting Estimator'!E90,'Lighting Power Density'!$B$3:$B$50,"LED",'Lighting Power Density'!$C$3:$C$50,'LED Lighting Estimator'!H90)/1000</f>
        <v>0</v>
      </c>
      <c r="N90" s="58">
        <f t="shared" si="16"/>
        <v>0</v>
      </c>
      <c r="O90" s="58">
        <f>IFERROR(I90*365.25*M90*J90/7,0)*(1-IF(K90="Yes",SUMIFS('Control Benefit'!$C$12:$C$29,'Control Benefit'!$A$12:$A$29,'LED Lighting Estimator'!$D$5,'Control Benefit'!$B$12:$B$29,'LED Lighting Estimator'!$F90),0))</f>
        <v>0</v>
      </c>
      <c r="P90" s="86" t="str">
        <f>IFERROR((I90*365.25)/SUMIFS('Lighting Power Density'!$F$3:$F$50,'Lighting Power Density'!$A$3:$A$50,'LED Lighting Estimator'!$E90,'Lighting Power Density'!$B$3:$B$50,'LED Lighting Estimator'!$G90,'Lighting Power Density'!$C$3:$C$50,'LED Lighting Estimator'!$H90),"-")</f>
        <v>-</v>
      </c>
      <c r="Q90" s="86" t="str">
        <f>IFERROR((I90*365.25)/SUMIFS('Lighting Power Density'!$F$3:$F$50,'Lighting Power Density'!$A$3:$A$50,'LED Lighting Estimator'!$E90,'Lighting Power Density'!$B$3:$B$50,"LED",'Lighting Power Density'!$C$3:$C$50,'LED Lighting Estimator'!$H90),"-")</f>
        <v>-</v>
      </c>
      <c r="R90" s="59">
        <f t="shared" si="13"/>
        <v>0</v>
      </c>
      <c r="S90" s="59">
        <f t="shared" si="14"/>
        <v>0</v>
      </c>
      <c r="T90" s="59">
        <f>M90*IFERROR(SUMIFS('LED Costs'!$C$4:$C$22,'LED Costs'!$A$4:$A$22,'LED Lighting Estimator'!$D$5,'LED Costs'!$B$4:$B$22,'LED Lighting Estimator'!$F90)*1000,0)-IF($K90="No",$D90*SUMIFS('Control Benefit'!$E$12:$E$29,'Control Benefit'!$A$12:$A$29,'LED Lighting Estimator'!$D$5,'Control Benefit'!$B$12:$B$29,'LED Lighting Estimator'!$F90),0)</f>
        <v>0</v>
      </c>
      <c r="U90" s="59">
        <f t="shared" si="17"/>
        <v>0</v>
      </c>
      <c r="V90" s="59">
        <f>IFERROR(D90*P90*(SUMIFS('Other Costs'!$F$2:$F$19,'Other Costs'!$A$2:$A$19,'LED Lighting Estimator'!G90,'Other Costs'!$C$2:$C$19,'LED Lighting Estimator'!H90)+$D$9),0)</f>
        <v>0</v>
      </c>
      <c r="W90" s="60">
        <f>IFERROR(D90*Q90*(M90*SUMIFS('LED Costs'!$C$4:$C$22,'LED Costs'!$A$4:$A$22,$D$5,'LED Costs'!$B$4:$B$22,'LED Lighting Estimator'!$F90)/1000+'LED Lighting Estimator'!$D$9),0)</f>
        <v>0</v>
      </c>
      <c r="X90" s="61">
        <f t="shared" si="18"/>
        <v>0</v>
      </c>
      <c r="Y90" s="61">
        <f>IFERROR(($N90-$O90)*'Emission factors'!$D$4,0)</f>
        <v>0</v>
      </c>
      <c r="AA90" s="84"/>
      <c r="AB90" s="84"/>
      <c r="AC90" s="68" t="str">
        <f>IFERROR(D90*INDEX('BEES Data'!$B$6:$AL$9,MATCH('LED Lighting Estimator'!AB90,'BEES Data'!$A$6:$A$9,0),MATCH('LED Lighting Estimator'!AA90,'BEES Data'!$B$5:$AL$5,0)),"-")</f>
        <v>-</v>
      </c>
      <c r="AD90" s="68">
        <f>IFERROR(AC90*INDEX('BEES Data'!$B$14:$AL$14,1,MATCH('LED Lighting Estimator'!AA90,'BEES Data'!$B$5:$AL$5,0)),0)</f>
        <v>0</v>
      </c>
      <c r="AE90" s="69">
        <f t="shared" si="15"/>
        <v>0</v>
      </c>
      <c r="AF90" s="69">
        <f>IFERROR(AD90*INDEX('BEES Data'!$B$15:$AL$15,1,MATCH('LED Lighting Estimator'!AA90,'BEES Data'!$B$5:$AL$5)),0)</f>
        <v>0</v>
      </c>
      <c r="AG90" s="93">
        <f t="shared" si="19"/>
        <v>0</v>
      </c>
    </row>
    <row r="91" spans="2:33" x14ac:dyDescent="0.3">
      <c r="B91" s="84"/>
      <c r="C91" s="31"/>
      <c r="D91" s="85"/>
      <c r="E91" s="31"/>
      <c r="F91" s="31"/>
      <c r="G91" s="31"/>
      <c r="H91" s="31"/>
      <c r="I91" s="31"/>
      <c r="J91" s="31"/>
      <c r="K91" s="31"/>
      <c r="L91" s="86">
        <f>D91*SUMIFS('Lighting Power Density'!$E$3:$E$50,'Lighting Power Density'!$A$3:$A$50,'LED Lighting Estimator'!E91,'Lighting Power Density'!$B$3:$B$50,'LED Lighting Estimator'!G91,'Lighting Power Density'!$C$3:$C$50,'LED Lighting Estimator'!H91)/1000</f>
        <v>0</v>
      </c>
      <c r="M91" s="86">
        <f>D91*SUMIFS('Lighting Power Density'!$E$3:$E$50,'Lighting Power Density'!$A$3:$A$50,'LED Lighting Estimator'!E91,'Lighting Power Density'!$B$3:$B$50,"LED",'Lighting Power Density'!$C$3:$C$50,'LED Lighting Estimator'!H91)/1000</f>
        <v>0</v>
      </c>
      <c r="N91" s="58">
        <f t="shared" si="16"/>
        <v>0</v>
      </c>
      <c r="O91" s="58">
        <f>IFERROR(I91*365.25*M91*J91/7,0)*(1-IF(K91="Yes",SUMIFS('Control Benefit'!$C$12:$C$29,'Control Benefit'!$A$12:$A$29,'LED Lighting Estimator'!$D$5,'Control Benefit'!$B$12:$B$29,'LED Lighting Estimator'!$F91),0))</f>
        <v>0</v>
      </c>
      <c r="P91" s="86" t="str">
        <f>IFERROR((I91*365.25)/SUMIFS('Lighting Power Density'!$F$3:$F$50,'Lighting Power Density'!$A$3:$A$50,'LED Lighting Estimator'!$E91,'Lighting Power Density'!$B$3:$B$50,'LED Lighting Estimator'!$G91,'Lighting Power Density'!$C$3:$C$50,'LED Lighting Estimator'!$H91),"-")</f>
        <v>-</v>
      </c>
      <c r="Q91" s="86" t="str">
        <f>IFERROR((I91*365.25)/SUMIFS('Lighting Power Density'!$F$3:$F$50,'Lighting Power Density'!$A$3:$A$50,'LED Lighting Estimator'!$E91,'Lighting Power Density'!$B$3:$B$50,"LED",'Lighting Power Density'!$C$3:$C$50,'LED Lighting Estimator'!$H91),"-")</f>
        <v>-</v>
      </c>
      <c r="R91" s="59">
        <f t="shared" si="13"/>
        <v>0</v>
      </c>
      <c r="S91" s="59">
        <f t="shared" si="14"/>
        <v>0</v>
      </c>
      <c r="T91" s="59">
        <f>M91*IFERROR(SUMIFS('LED Costs'!$C$4:$C$22,'LED Costs'!$A$4:$A$22,'LED Lighting Estimator'!$D$5,'LED Costs'!$B$4:$B$22,'LED Lighting Estimator'!$F91)*1000,0)-IF($K91="No",$D91*SUMIFS('Control Benefit'!$E$12:$E$29,'Control Benefit'!$A$12:$A$29,'LED Lighting Estimator'!$D$5,'Control Benefit'!$B$12:$B$29,'LED Lighting Estimator'!$F91),0)</f>
        <v>0</v>
      </c>
      <c r="U91" s="59">
        <f t="shared" si="17"/>
        <v>0</v>
      </c>
      <c r="V91" s="59">
        <f>IFERROR(D91*P91*(SUMIFS('Other Costs'!$F$2:$F$19,'Other Costs'!$A$2:$A$19,'LED Lighting Estimator'!G91,'Other Costs'!$C$2:$C$19,'LED Lighting Estimator'!H91)+$D$9),0)</f>
        <v>0</v>
      </c>
      <c r="W91" s="60">
        <f>IFERROR(D91*Q91*(M91*SUMIFS('LED Costs'!$C$4:$C$22,'LED Costs'!$A$4:$A$22,$D$5,'LED Costs'!$B$4:$B$22,'LED Lighting Estimator'!$F91)/1000+'LED Lighting Estimator'!$D$9),0)</f>
        <v>0</v>
      </c>
      <c r="X91" s="61">
        <f t="shared" si="18"/>
        <v>0</v>
      </c>
      <c r="Y91" s="61">
        <f>IFERROR(($N91-$O91)*'Emission factors'!$D$4,0)</f>
        <v>0</v>
      </c>
      <c r="AA91" s="84"/>
      <c r="AB91" s="84"/>
      <c r="AC91" s="68" t="str">
        <f>IFERROR(D91*INDEX('BEES Data'!$B$6:$AL$9,MATCH('LED Lighting Estimator'!AB91,'BEES Data'!$A$6:$A$9,0),MATCH('LED Lighting Estimator'!AA91,'BEES Data'!$B$5:$AL$5,0)),"-")</f>
        <v>-</v>
      </c>
      <c r="AD91" s="68">
        <f>IFERROR(AC91*INDEX('BEES Data'!$B$14:$AL$14,1,MATCH('LED Lighting Estimator'!AA91,'BEES Data'!$B$5:$AL$5,0)),0)</f>
        <v>0</v>
      </c>
      <c r="AE91" s="69">
        <f t="shared" si="15"/>
        <v>0</v>
      </c>
      <c r="AF91" s="69">
        <f>IFERROR(AD91*INDEX('BEES Data'!$B$15:$AL$15,1,MATCH('LED Lighting Estimator'!AA91,'BEES Data'!$B$5:$AL$5)),0)</f>
        <v>0</v>
      </c>
      <c r="AG91" s="93">
        <f t="shared" si="19"/>
        <v>0</v>
      </c>
    </row>
    <row r="92" spans="2:33" x14ac:dyDescent="0.3">
      <c r="B92" s="84"/>
      <c r="C92" s="31"/>
      <c r="D92" s="85"/>
      <c r="E92" s="31"/>
      <c r="F92" s="31"/>
      <c r="G92" s="31"/>
      <c r="H92" s="31"/>
      <c r="I92" s="31"/>
      <c r="J92" s="31"/>
      <c r="K92" s="31"/>
      <c r="L92" s="86">
        <f>D92*SUMIFS('Lighting Power Density'!$E$3:$E$50,'Lighting Power Density'!$A$3:$A$50,'LED Lighting Estimator'!E92,'Lighting Power Density'!$B$3:$B$50,'LED Lighting Estimator'!G92,'Lighting Power Density'!$C$3:$C$50,'LED Lighting Estimator'!H92)/1000</f>
        <v>0</v>
      </c>
      <c r="M92" s="86">
        <f>D92*SUMIFS('Lighting Power Density'!$E$3:$E$50,'Lighting Power Density'!$A$3:$A$50,'LED Lighting Estimator'!E92,'Lighting Power Density'!$B$3:$B$50,"LED",'Lighting Power Density'!$C$3:$C$50,'LED Lighting Estimator'!H92)/1000</f>
        <v>0</v>
      </c>
      <c r="N92" s="58">
        <f t="shared" si="16"/>
        <v>0</v>
      </c>
      <c r="O92" s="58">
        <f>IFERROR(I92*365.25*M92*J92/7,0)*(1-IF(K92="Yes",SUMIFS('Control Benefit'!$C$12:$C$29,'Control Benefit'!$A$12:$A$29,'LED Lighting Estimator'!$D$5,'Control Benefit'!$B$12:$B$29,'LED Lighting Estimator'!$F92),0))</f>
        <v>0</v>
      </c>
      <c r="P92" s="86" t="str">
        <f>IFERROR((I92*365.25)/SUMIFS('Lighting Power Density'!$F$3:$F$50,'Lighting Power Density'!$A$3:$A$50,'LED Lighting Estimator'!$E92,'Lighting Power Density'!$B$3:$B$50,'LED Lighting Estimator'!$G92,'Lighting Power Density'!$C$3:$C$50,'LED Lighting Estimator'!$H92),"-")</f>
        <v>-</v>
      </c>
      <c r="Q92" s="86" t="str">
        <f>IFERROR((I92*365.25)/SUMIFS('Lighting Power Density'!$F$3:$F$50,'Lighting Power Density'!$A$3:$A$50,'LED Lighting Estimator'!$E92,'Lighting Power Density'!$B$3:$B$50,"LED",'Lighting Power Density'!$C$3:$C$50,'LED Lighting Estimator'!$H92),"-")</f>
        <v>-</v>
      </c>
      <c r="R92" s="59">
        <f t="shared" si="13"/>
        <v>0</v>
      </c>
      <c r="S92" s="59">
        <f t="shared" si="14"/>
        <v>0</v>
      </c>
      <c r="T92" s="59">
        <f>M92*IFERROR(SUMIFS('LED Costs'!$C$4:$C$22,'LED Costs'!$A$4:$A$22,'LED Lighting Estimator'!$D$5,'LED Costs'!$B$4:$B$22,'LED Lighting Estimator'!$F92)*1000,0)-IF($K92="No",$D92*SUMIFS('Control Benefit'!$E$12:$E$29,'Control Benefit'!$A$12:$A$29,'LED Lighting Estimator'!$D$5,'Control Benefit'!$B$12:$B$29,'LED Lighting Estimator'!$F92),0)</f>
        <v>0</v>
      </c>
      <c r="U92" s="59">
        <f t="shared" si="17"/>
        <v>0</v>
      </c>
      <c r="V92" s="59">
        <f>IFERROR(D92*P92*(SUMIFS('Other Costs'!$F$2:$F$19,'Other Costs'!$A$2:$A$19,'LED Lighting Estimator'!G92,'Other Costs'!$C$2:$C$19,'LED Lighting Estimator'!H92)+$D$9),0)</f>
        <v>0</v>
      </c>
      <c r="W92" s="60">
        <f>IFERROR(D92*Q92*(M92*SUMIFS('LED Costs'!$C$4:$C$22,'LED Costs'!$A$4:$A$22,$D$5,'LED Costs'!$B$4:$B$22,'LED Lighting Estimator'!$F92)/1000+'LED Lighting Estimator'!$D$9),0)</f>
        <v>0</v>
      </c>
      <c r="X92" s="61">
        <f t="shared" si="18"/>
        <v>0</v>
      </c>
      <c r="Y92" s="61">
        <f>IFERROR(($N92-$O92)*'Emission factors'!$D$4,0)</f>
        <v>0</v>
      </c>
      <c r="AA92" s="84"/>
      <c r="AB92" s="84"/>
      <c r="AC92" s="68" t="str">
        <f>IFERROR(D92*INDEX('BEES Data'!$B$6:$AL$9,MATCH('LED Lighting Estimator'!AB92,'BEES Data'!$A$6:$A$9,0),MATCH('LED Lighting Estimator'!AA92,'BEES Data'!$B$5:$AL$5,0)),"-")</f>
        <v>-</v>
      </c>
      <c r="AD92" s="68">
        <f>IFERROR(AC92*INDEX('BEES Data'!$B$14:$AL$14,1,MATCH('LED Lighting Estimator'!AA92,'BEES Data'!$B$5:$AL$5,0)),0)</f>
        <v>0</v>
      </c>
      <c r="AE92" s="69">
        <f t="shared" si="15"/>
        <v>0</v>
      </c>
      <c r="AF92" s="69">
        <f>IFERROR(AD92*INDEX('BEES Data'!$B$15:$AL$15,1,MATCH('LED Lighting Estimator'!AA92,'BEES Data'!$B$5:$AL$5)),0)</f>
        <v>0</v>
      </c>
      <c r="AG92" s="93">
        <f t="shared" si="19"/>
        <v>0</v>
      </c>
    </row>
    <row r="93" spans="2:33" x14ac:dyDescent="0.3">
      <c r="B93" s="84"/>
      <c r="C93" s="31"/>
      <c r="D93" s="85"/>
      <c r="E93" s="31"/>
      <c r="F93" s="31"/>
      <c r="G93" s="31"/>
      <c r="H93" s="31"/>
      <c r="I93" s="31"/>
      <c r="J93" s="31"/>
      <c r="K93" s="31"/>
      <c r="L93" s="86">
        <f>D93*SUMIFS('Lighting Power Density'!$E$3:$E$50,'Lighting Power Density'!$A$3:$A$50,'LED Lighting Estimator'!E93,'Lighting Power Density'!$B$3:$B$50,'LED Lighting Estimator'!G93,'Lighting Power Density'!$C$3:$C$50,'LED Lighting Estimator'!H93)/1000</f>
        <v>0</v>
      </c>
      <c r="M93" s="86">
        <f>D93*SUMIFS('Lighting Power Density'!$E$3:$E$50,'Lighting Power Density'!$A$3:$A$50,'LED Lighting Estimator'!E93,'Lighting Power Density'!$B$3:$B$50,"LED",'Lighting Power Density'!$C$3:$C$50,'LED Lighting Estimator'!H93)/1000</f>
        <v>0</v>
      </c>
      <c r="N93" s="58">
        <f t="shared" si="16"/>
        <v>0</v>
      </c>
      <c r="O93" s="58">
        <f>IFERROR(I93*365.25*M93*J93/7,0)*(1-IF(K93="Yes",SUMIFS('Control Benefit'!$C$12:$C$29,'Control Benefit'!$A$12:$A$29,'LED Lighting Estimator'!$D$5,'Control Benefit'!$B$12:$B$29,'LED Lighting Estimator'!$F93),0))</f>
        <v>0</v>
      </c>
      <c r="P93" s="86" t="str">
        <f>IFERROR((I93*365.25)/SUMIFS('Lighting Power Density'!$F$3:$F$50,'Lighting Power Density'!$A$3:$A$50,'LED Lighting Estimator'!$E93,'Lighting Power Density'!$B$3:$B$50,'LED Lighting Estimator'!$G93,'Lighting Power Density'!$C$3:$C$50,'LED Lighting Estimator'!$H93),"-")</f>
        <v>-</v>
      </c>
      <c r="Q93" s="86" t="str">
        <f>IFERROR((I93*365.25)/SUMIFS('Lighting Power Density'!$F$3:$F$50,'Lighting Power Density'!$A$3:$A$50,'LED Lighting Estimator'!$E93,'Lighting Power Density'!$B$3:$B$50,"LED",'Lighting Power Density'!$C$3:$C$50,'LED Lighting Estimator'!$H93),"-")</f>
        <v>-</v>
      </c>
      <c r="R93" s="59">
        <f t="shared" si="13"/>
        <v>0</v>
      </c>
      <c r="S93" s="59">
        <f t="shared" si="14"/>
        <v>0</v>
      </c>
      <c r="T93" s="59">
        <f>M93*IFERROR(SUMIFS('LED Costs'!$C$4:$C$22,'LED Costs'!$A$4:$A$22,'LED Lighting Estimator'!$D$5,'LED Costs'!$B$4:$B$22,'LED Lighting Estimator'!$F93)*1000,0)-IF($K93="No",$D93*SUMIFS('Control Benefit'!$E$12:$E$29,'Control Benefit'!$A$12:$A$29,'LED Lighting Estimator'!$D$5,'Control Benefit'!$B$12:$B$29,'LED Lighting Estimator'!$F93),0)</f>
        <v>0</v>
      </c>
      <c r="U93" s="59">
        <f t="shared" si="17"/>
        <v>0</v>
      </c>
      <c r="V93" s="59">
        <f>IFERROR(D93*P93*(SUMIFS('Other Costs'!$F$2:$F$19,'Other Costs'!$A$2:$A$19,'LED Lighting Estimator'!G93,'Other Costs'!$C$2:$C$19,'LED Lighting Estimator'!H93)+$D$9),0)</f>
        <v>0</v>
      </c>
      <c r="W93" s="60">
        <f>IFERROR(D93*Q93*(M93*SUMIFS('LED Costs'!$C$4:$C$22,'LED Costs'!$A$4:$A$22,$D$5,'LED Costs'!$B$4:$B$22,'LED Lighting Estimator'!$F93)/1000+'LED Lighting Estimator'!$D$9),0)</f>
        <v>0</v>
      </c>
      <c r="X93" s="61">
        <f t="shared" si="18"/>
        <v>0</v>
      </c>
      <c r="Y93" s="61">
        <f>IFERROR(($N93-$O93)*'Emission factors'!$D$4,0)</f>
        <v>0</v>
      </c>
      <c r="AA93" s="84"/>
      <c r="AB93" s="84"/>
      <c r="AC93" s="68" t="str">
        <f>IFERROR(D93*INDEX('BEES Data'!$B$6:$AL$9,MATCH('LED Lighting Estimator'!AB93,'BEES Data'!$A$6:$A$9,0),MATCH('LED Lighting Estimator'!AA93,'BEES Data'!$B$5:$AL$5,0)),"-")</f>
        <v>-</v>
      </c>
      <c r="AD93" s="68">
        <f>IFERROR(AC93*INDEX('BEES Data'!$B$14:$AL$14,1,MATCH('LED Lighting Estimator'!AA93,'BEES Data'!$B$5:$AL$5,0)),0)</f>
        <v>0</v>
      </c>
      <c r="AE93" s="69">
        <f t="shared" si="15"/>
        <v>0</v>
      </c>
      <c r="AF93" s="69">
        <f>IFERROR(AD93*INDEX('BEES Data'!$B$15:$AL$15,1,MATCH('LED Lighting Estimator'!AA93,'BEES Data'!$B$5:$AL$5)),0)</f>
        <v>0</v>
      </c>
      <c r="AG93" s="93">
        <f t="shared" si="19"/>
        <v>0</v>
      </c>
    </row>
    <row r="94" spans="2:33" x14ac:dyDescent="0.3">
      <c r="B94" s="84"/>
      <c r="C94" s="31"/>
      <c r="D94" s="85"/>
      <c r="E94" s="31"/>
      <c r="F94" s="31"/>
      <c r="G94" s="31"/>
      <c r="H94" s="31"/>
      <c r="I94" s="31"/>
      <c r="J94" s="31"/>
      <c r="K94" s="31"/>
      <c r="L94" s="86">
        <f>D94*SUMIFS('Lighting Power Density'!$E$3:$E$50,'Lighting Power Density'!$A$3:$A$50,'LED Lighting Estimator'!E94,'Lighting Power Density'!$B$3:$B$50,'LED Lighting Estimator'!G94,'Lighting Power Density'!$C$3:$C$50,'LED Lighting Estimator'!H94)/1000</f>
        <v>0</v>
      </c>
      <c r="M94" s="86">
        <f>D94*SUMIFS('Lighting Power Density'!$E$3:$E$50,'Lighting Power Density'!$A$3:$A$50,'LED Lighting Estimator'!E94,'Lighting Power Density'!$B$3:$B$50,"LED",'Lighting Power Density'!$C$3:$C$50,'LED Lighting Estimator'!H94)/1000</f>
        <v>0</v>
      </c>
      <c r="N94" s="58">
        <f t="shared" si="16"/>
        <v>0</v>
      </c>
      <c r="O94" s="58">
        <f>IFERROR(I94*365.25*M94*J94/7,0)*(1-IF(K94="Yes",SUMIFS('Control Benefit'!$C$12:$C$29,'Control Benefit'!$A$12:$A$29,'LED Lighting Estimator'!$D$5,'Control Benefit'!$B$12:$B$29,'LED Lighting Estimator'!$F94),0))</f>
        <v>0</v>
      </c>
      <c r="P94" s="86" t="str">
        <f>IFERROR((I94*365.25)/SUMIFS('Lighting Power Density'!$F$3:$F$50,'Lighting Power Density'!$A$3:$A$50,'LED Lighting Estimator'!$E94,'Lighting Power Density'!$B$3:$B$50,'LED Lighting Estimator'!$G94,'Lighting Power Density'!$C$3:$C$50,'LED Lighting Estimator'!$H94),"-")</f>
        <v>-</v>
      </c>
      <c r="Q94" s="86" t="str">
        <f>IFERROR((I94*365.25)/SUMIFS('Lighting Power Density'!$F$3:$F$50,'Lighting Power Density'!$A$3:$A$50,'LED Lighting Estimator'!$E94,'Lighting Power Density'!$B$3:$B$50,"LED",'Lighting Power Density'!$C$3:$C$50,'LED Lighting Estimator'!$H94),"-")</f>
        <v>-</v>
      </c>
      <c r="R94" s="59">
        <f t="shared" si="13"/>
        <v>0</v>
      </c>
      <c r="S94" s="59">
        <f t="shared" si="14"/>
        <v>0</v>
      </c>
      <c r="T94" s="59">
        <f>M94*IFERROR(SUMIFS('LED Costs'!$C$4:$C$22,'LED Costs'!$A$4:$A$22,'LED Lighting Estimator'!$D$5,'LED Costs'!$B$4:$B$22,'LED Lighting Estimator'!$F94)*1000,0)-IF($K94="No",$D94*SUMIFS('Control Benefit'!$E$12:$E$29,'Control Benefit'!$A$12:$A$29,'LED Lighting Estimator'!$D$5,'Control Benefit'!$B$12:$B$29,'LED Lighting Estimator'!$F94),0)</f>
        <v>0</v>
      </c>
      <c r="U94" s="59">
        <f t="shared" si="17"/>
        <v>0</v>
      </c>
      <c r="V94" s="59">
        <f>IFERROR(D94*P94*(SUMIFS('Other Costs'!$F$2:$F$19,'Other Costs'!$A$2:$A$19,'LED Lighting Estimator'!G94,'Other Costs'!$C$2:$C$19,'LED Lighting Estimator'!H94)+$D$9),0)</f>
        <v>0</v>
      </c>
      <c r="W94" s="60">
        <f>IFERROR(D94*Q94*(M94*SUMIFS('LED Costs'!$C$4:$C$22,'LED Costs'!$A$4:$A$22,$D$5,'LED Costs'!$B$4:$B$22,'LED Lighting Estimator'!$F94)/1000+'LED Lighting Estimator'!$D$9),0)</f>
        <v>0</v>
      </c>
      <c r="X94" s="61">
        <f t="shared" si="18"/>
        <v>0</v>
      </c>
      <c r="Y94" s="61">
        <f>IFERROR(($N94-$O94)*'Emission factors'!$D$4,0)</f>
        <v>0</v>
      </c>
      <c r="AA94" s="84"/>
      <c r="AB94" s="84"/>
      <c r="AC94" s="68" t="str">
        <f>IFERROR(D94*INDEX('BEES Data'!$B$6:$AL$9,MATCH('LED Lighting Estimator'!AB94,'BEES Data'!$A$6:$A$9,0),MATCH('LED Lighting Estimator'!AA94,'BEES Data'!$B$5:$AL$5,0)),"-")</f>
        <v>-</v>
      </c>
      <c r="AD94" s="68">
        <f>IFERROR(AC94*INDEX('BEES Data'!$B$14:$AL$14,1,MATCH('LED Lighting Estimator'!AA94,'BEES Data'!$B$5:$AL$5,0)),0)</f>
        <v>0</v>
      </c>
      <c r="AE94" s="69">
        <f t="shared" si="15"/>
        <v>0</v>
      </c>
      <c r="AF94" s="69">
        <f>IFERROR(AD94*INDEX('BEES Data'!$B$15:$AL$15,1,MATCH('LED Lighting Estimator'!AA94,'BEES Data'!$B$5:$AL$5)),0)</f>
        <v>0</v>
      </c>
      <c r="AG94" s="93">
        <f t="shared" si="19"/>
        <v>0</v>
      </c>
    </row>
    <row r="95" spans="2:33" x14ac:dyDescent="0.3">
      <c r="B95" s="84"/>
      <c r="C95" s="31"/>
      <c r="D95" s="85"/>
      <c r="E95" s="31"/>
      <c r="F95" s="31"/>
      <c r="G95" s="31"/>
      <c r="H95" s="31"/>
      <c r="I95" s="31"/>
      <c r="J95" s="31"/>
      <c r="K95" s="31"/>
      <c r="L95" s="86">
        <f>D95*SUMIFS('Lighting Power Density'!$E$3:$E$50,'Lighting Power Density'!$A$3:$A$50,'LED Lighting Estimator'!E95,'Lighting Power Density'!$B$3:$B$50,'LED Lighting Estimator'!G95,'Lighting Power Density'!$C$3:$C$50,'LED Lighting Estimator'!H95)/1000</f>
        <v>0</v>
      </c>
      <c r="M95" s="86">
        <f>D95*SUMIFS('Lighting Power Density'!$E$3:$E$50,'Lighting Power Density'!$A$3:$A$50,'LED Lighting Estimator'!E95,'Lighting Power Density'!$B$3:$B$50,"LED",'Lighting Power Density'!$C$3:$C$50,'LED Lighting Estimator'!H95)/1000</f>
        <v>0</v>
      </c>
      <c r="N95" s="58">
        <f t="shared" si="16"/>
        <v>0</v>
      </c>
      <c r="O95" s="58">
        <f>IFERROR(I95*365.25*M95*J95/7,0)*(1-IF(K95="Yes",SUMIFS('Control Benefit'!$C$12:$C$29,'Control Benefit'!$A$12:$A$29,'LED Lighting Estimator'!$D$5,'Control Benefit'!$B$12:$B$29,'LED Lighting Estimator'!$F95),0))</f>
        <v>0</v>
      </c>
      <c r="P95" s="86" t="str">
        <f>IFERROR((I95*365.25)/SUMIFS('Lighting Power Density'!$F$3:$F$50,'Lighting Power Density'!$A$3:$A$50,'LED Lighting Estimator'!$E95,'Lighting Power Density'!$B$3:$B$50,'LED Lighting Estimator'!$G95,'Lighting Power Density'!$C$3:$C$50,'LED Lighting Estimator'!$H95),"-")</f>
        <v>-</v>
      </c>
      <c r="Q95" s="86" t="str">
        <f>IFERROR((I95*365.25)/SUMIFS('Lighting Power Density'!$F$3:$F$50,'Lighting Power Density'!$A$3:$A$50,'LED Lighting Estimator'!$E95,'Lighting Power Density'!$B$3:$B$50,"LED",'Lighting Power Density'!$C$3:$C$50,'LED Lighting Estimator'!$H95),"-")</f>
        <v>-</v>
      </c>
      <c r="R95" s="59">
        <f t="shared" si="13"/>
        <v>0</v>
      </c>
      <c r="S95" s="59">
        <f t="shared" si="14"/>
        <v>0</v>
      </c>
      <c r="T95" s="59">
        <f>M95*IFERROR(SUMIFS('LED Costs'!$C$4:$C$22,'LED Costs'!$A$4:$A$22,'LED Lighting Estimator'!$D$5,'LED Costs'!$B$4:$B$22,'LED Lighting Estimator'!$F95)*1000,0)-IF($K95="No",$D95*SUMIFS('Control Benefit'!$E$12:$E$29,'Control Benefit'!$A$12:$A$29,'LED Lighting Estimator'!$D$5,'Control Benefit'!$B$12:$B$29,'LED Lighting Estimator'!$F95),0)</f>
        <v>0</v>
      </c>
      <c r="U95" s="59">
        <f t="shared" si="17"/>
        <v>0</v>
      </c>
      <c r="V95" s="59">
        <f>IFERROR(D95*P95*(SUMIFS('Other Costs'!$F$2:$F$19,'Other Costs'!$A$2:$A$19,'LED Lighting Estimator'!G95,'Other Costs'!$C$2:$C$19,'LED Lighting Estimator'!H95)+$D$9),0)</f>
        <v>0</v>
      </c>
      <c r="W95" s="60">
        <f>IFERROR(D95*Q95*(M95*SUMIFS('LED Costs'!$C$4:$C$22,'LED Costs'!$A$4:$A$22,$D$5,'LED Costs'!$B$4:$B$22,'LED Lighting Estimator'!$F95)/1000+'LED Lighting Estimator'!$D$9),0)</f>
        <v>0</v>
      </c>
      <c r="X95" s="61">
        <f t="shared" si="18"/>
        <v>0</v>
      </c>
      <c r="Y95" s="61">
        <f>IFERROR(($N95-$O95)*'Emission factors'!$D$4,0)</f>
        <v>0</v>
      </c>
      <c r="AA95" s="84"/>
      <c r="AB95" s="84"/>
      <c r="AC95" s="68" t="str">
        <f>IFERROR(D95*INDEX('BEES Data'!$B$6:$AL$9,MATCH('LED Lighting Estimator'!AB95,'BEES Data'!$A$6:$A$9,0),MATCH('LED Lighting Estimator'!AA95,'BEES Data'!$B$5:$AL$5,0)),"-")</f>
        <v>-</v>
      </c>
      <c r="AD95" s="68">
        <f>IFERROR(AC95*INDEX('BEES Data'!$B$14:$AL$14,1,MATCH('LED Lighting Estimator'!AA95,'BEES Data'!$B$5:$AL$5,0)),0)</f>
        <v>0</v>
      </c>
      <c r="AE95" s="69">
        <f t="shared" si="15"/>
        <v>0</v>
      </c>
      <c r="AF95" s="69">
        <f>IFERROR(AD95*INDEX('BEES Data'!$B$15:$AL$15,1,MATCH('LED Lighting Estimator'!AA95,'BEES Data'!$B$5:$AL$5)),0)</f>
        <v>0</v>
      </c>
      <c r="AG95" s="93">
        <f t="shared" si="19"/>
        <v>0</v>
      </c>
    </row>
    <row r="96" spans="2:33" x14ac:dyDescent="0.3">
      <c r="B96" s="84"/>
      <c r="C96" s="31"/>
      <c r="D96" s="85"/>
      <c r="E96" s="31"/>
      <c r="F96" s="31"/>
      <c r="G96" s="31"/>
      <c r="H96" s="31"/>
      <c r="I96" s="31"/>
      <c r="J96" s="31"/>
      <c r="K96" s="31"/>
      <c r="L96" s="86">
        <f>D96*SUMIFS('Lighting Power Density'!$E$3:$E$50,'Lighting Power Density'!$A$3:$A$50,'LED Lighting Estimator'!E96,'Lighting Power Density'!$B$3:$B$50,'LED Lighting Estimator'!G96,'Lighting Power Density'!$C$3:$C$50,'LED Lighting Estimator'!H96)/1000</f>
        <v>0</v>
      </c>
      <c r="M96" s="86">
        <f>D96*SUMIFS('Lighting Power Density'!$E$3:$E$50,'Lighting Power Density'!$A$3:$A$50,'LED Lighting Estimator'!E96,'Lighting Power Density'!$B$3:$B$50,"LED",'Lighting Power Density'!$C$3:$C$50,'LED Lighting Estimator'!H96)/1000</f>
        <v>0</v>
      </c>
      <c r="N96" s="58">
        <f t="shared" si="16"/>
        <v>0</v>
      </c>
      <c r="O96" s="58">
        <f>IFERROR(I96*365.25*M96*J96/7,0)*(1-IF(K96="Yes",SUMIFS('Control Benefit'!$C$12:$C$29,'Control Benefit'!$A$12:$A$29,'LED Lighting Estimator'!$D$5,'Control Benefit'!$B$12:$B$29,'LED Lighting Estimator'!$F96),0))</f>
        <v>0</v>
      </c>
      <c r="P96" s="86" t="str">
        <f>IFERROR((I96*365.25)/SUMIFS('Lighting Power Density'!$F$3:$F$50,'Lighting Power Density'!$A$3:$A$50,'LED Lighting Estimator'!$E96,'Lighting Power Density'!$B$3:$B$50,'LED Lighting Estimator'!$G96,'Lighting Power Density'!$C$3:$C$50,'LED Lighting Estimator'!$H96),"-")</f>
        <v>-</v>
      </c>
      <c r="Q96" s="86" t="str">
        <f>IFERROR((I96*365.25)/SUMIFS('Lighting Power Density'!$F$3:$F$50,'Lighting Power Density'!$A$3:$A$50,'LED Lighting Estimator'!$E96,'Lighting Power Density'!$B$3:$B$50,"LED",'Lighting Power Density'!$C$3:$C$50,'LED Lighting Estimator'!$H96),"-")</f>
        <v>-</v>
      </c>
      <c r="R96" s="59">
        <f t="shared" si="13"/>
        <v>0</v>
      </c>
      <c r="S96" s="59">
        <f t="shared" si="14"/>
        <v>0</v>
      </c>
      <c r="T96" s="59">
        <f>M96*IFERROR(SUMIFS('LED Costs'!$C$4:$C$22,'LED Costs'!$A$4:$A$22,'LED Lighting Estimator'!$D$5,'LED Costs'!$B$4:$B$22,'LED Lighting Estimator'!$F96)*1000,0)-IF($K96="No",$D96*SUMIFS('Control Benefit'!$E$12:$E$29,'Control Benefit'!$A$12:$A$29,'LED Lighting Estimator'!$D$5,'Control Benefit'!$B$12:$B$29,'LED Lighting Estimator'!$F96),0)</f>
        <v>0</v>
      </c>
      <c r="U96" s="59">
        <f t="shared" si="17"/>
        <v>0</v>
      </c>
      <c r="V96" s="59">
        <f>IFERROR(D96*P96*(SUMIFS('Other Costs'!$F$2:$F$19,'Other Costs'!$A$2:$A$19,'LED Lighting Estimator'!G96,'Other Costs'!$C$2:$C$19,'LED Lighting Estimator'!H96)+$D$9),0)</f>
        <v>0</v>
      </c>
      <c r="W96" s="60">
        <f>IFERROR(D96*Q96*(M96*SUMIFS('LED Costs'!$C$4:$C$22,'LED Costs'!$A$4:$A$22,$D$5,'LED Costs'!$B$4:$B$22,'LED Lighting Estimator'!$F96)/1000+'LED Lighting Estimator'!$D$9),0)</f>
        <v>0</v>
      </c>
      <c r="X96" s="61">
        <f t="shared" si="18"/>
        <v>0</v>
      </c>
      <c r="Y96" s="61">
        <f>IFERROR(($N96-$O96)*'Emission factors'!$D$4,0)</f>
        <v>0</v>
      </c>
      <c r="AA96" s="84"/>
      <c r="AB96" s="84"/>
      <c r="AC96" s="68" t="str">
        <f>IFERROR(D96*INDEX('BEES Data'!$B$6:$AL$9,MATCH('LED Lighting Estimator'!AB96,'BEES Data'!$A$6:$A$9,0),MATCH('LED Lighting Estimator'!AA96,'BEES Data'!$B$5:$AL$5,0)),"-")</f>
        <v>-</v>
      </c>
      <c r="AD96" s="68">
        <f>IFERROR(AC96*INDEX('BEES Data'!$B$14:$AL$14,1,MATCH('LED Lighting Estimator'!AA96,'BEES Data'!$B$5:$AL$5,0)),0)</f>
        <v>0</v>
      </c>
      <c r="AE96" s="69">
        <f t="shared" si="15"/>
        <v>0</v>
      </c>
      <c r="AF96" s="69">
        <f>IFERROR(AD96*INDEX('BEES Data'!$B$15:$AL$15,1,MATCH('LED Lighting Estimator'!AA96,'BEES Data'!$B$5:$AL$5)),0)</f>
        <v>0</v>
      </c>
      <c r="AG96" s="93">
        <f t="shared" si="19"/>
        <v>0</v>
      </c>
    </row>
    <row r="97" spans="2:33" x14ac:dyDescent="0.3">
      <c r="B97" s="84"/>
      <c r="C97" s="31"/>
      <c r="D97" s="85"/>
      <c r="E97" s="31"/>
      <c r="F97" s="31"/>
      <c r="G97" s="31"/>
      <c r="H97" s="31"/>
      <c r="I97" s="31"/>
      <c r="J97" s="31"/>
      <c r="K97" s="31"/>
      <c r="L97" s="86">
        <f>D97*SUMIFS('Lighting Power Density'!$E$3:$E$50,'Lighting Power Density'!$A$3:$A$50,'LED Lighting Estimator'!E97,'Lighting Power Density'!$B$3:$B$50,'LED Lighting Estimator'!G97,'Lighting Power Density'!$C$3:$C$50,'LED Lighting Estimator'!H97)/1000</f>
        <v>0</v>
      </c>
      <c r="M97" s="86">
        <f>D97*SUMIFS('Lighting Power Density'!$E$3:$E$50,'Lighting Power Density'!$A$3:$A$50,'LED Lighting Estimator'!E97,'Lighting Power Density'!$B$3:$B$50,"LED",'Lighting Power Density'!$C$3:$C$50,'LED Lighting Estimator'!H97)/1000</f>
        <v>0</v>
      </c>
      <c r="N97" s="58">
        <f t="shared" si="16"/>
        <v>0</v>
      </c>
      <c r="O97" s="58">
        <f>IFERROR(I97*365.25*M97*J97/7,0)*(1-IF(K97="Yes",SUMIFS('Control Benefit'!$C$12:$C$29,'Control Benefit'!$A$12:$A$29,'LED Lighting Estimator'!$D$5,'Control Benefit'!$B$12:$B$29,'LED Lighting Estimator'!$F97),0))</f>
        <v>0</v>
      </c>
      <c r="P97" s="86" t="str">
        <f>IFERROR((I97*365.25)/SUMIFS('Lighting Power Density'!$F$3:$F$50,'Lighting Power Density'!$A$3:$A$50,'LED Lighting Estimator'!$E97,'Lighting Power Density'!$B$3:$B$50,'LED Lighting Estimator'!$G97,'Lighting Power Density'!$C$3:$C$50,'LED Lighting Estimator'!$H97),"-")</f>
        <v>-</v>
      </c>
      <c r="Q97" s="86" t="str">
        <f>IFERROR((I97*365.25)/SUMIFS('Lighting Power Density'!$F$3:$F$50,'Lighting Power Density'!$A$3:$A$50,'LED Lighting Estimator'!$E97,'Lighting Power Density'!$B$3:$B$50,"LED",'Lighting Power Density'!$C$3:$C$50,'LED Lighting Estimator'!$H97),"-")</f>
        <v>-</v>
      </c>
      <c r="R97" s="59">
        <f t="shared" si="13"/>
        <v>0</v>
      </c>
      <c r="S97" s="59">
        <f t="shared" si="14"/>
        <v>0</v>
      </c>
      <c r="T97" s="59">
        <f>M97*IFERROR(SUMIFS('LED Costs'!$C$4:$C$22,'LED Costs'!$A$4:$A$22,'LED Lighting Estimator'!$D$5,'LED Costs'!$B$4:$B$22,'LED Lighting Estimator'!$F97)*1000,0)-IF($K97="No",$D97*SUMIFS('Control Benefit'!$E$12:$E$29,'Control Benefit'!$A$12:$A$29,'LED Lighting Estimator'!$D$5,'Control Benefit'!$B$12:$B$29,'LED Lighting Estimator'!$F97),0)</f>
        <v>0</v>
      </c>
      <c r="U97" s="59">
        <f t="shared" si="17"/>
        <v>0</v>
      </c>
      <c r="V97" s="59">
        <f>IFERROR(D97*P97*(SUMIFS('Other Costs'!$F$2:$F$19,'Other Costs'!$A$2:$A$19,'LED Lighting Estimator'!G97,'Other Costs'!$C$2:$C$19,'LED Lighting Estimator'!H97)+$D$9),0)</f>
        <v>0</v>
      </c>
      <c r="W97" s="60">
        <f>IFERROR(D97*Q97*(M97*SUMIFS('LED Costs'!$C$4:$C$22,'LED Costs'!$A$4:$A$22,$D$5,'LED Costs'!$B$4:$B$22,'LED Lighting Estimator'!$F97)/1000+'LED Lighting Estimator'!$D$9),0)</f>
        <v>0</v>
      </c>
      <c r="X97" s="61">
        <f t="shared" si="18"/>
        <v>0</v>
      </c>
      <c r="Y97" s="61">
        <f>IFERROR(($N97-$O97)*'Emission factors'!$D$4,0)</f>
        <v>0</v>
      </c>
      <c r="AA97" s="84"/>
      <c r="AB97" s="84"/>
      <c r="AC97" s="68" t="str">
        <f>IFERROR(D97*INDEX('BEES Data'!$B$6:$AL$9,MATCH('LED Lighting Estimator'!AB97,'BEES Data'!$A$6:$A$9,0),MATCH('LED Lighting Estimator'!AA97,'BEES Data'!$B$5:$AL$5,0)),"-")</f>
        <v>-</v>
      </c>
      <c r="AD97" s="68">
        <f>IFERROR(AC97*INDEX('BEES Data'!$B$14:$AL$14,1,MATCH('LED Lighting Estimator'!AA97,'BEES Data'!$B$5:$AL$5,0)),0)</f>
        <v>0</v>
      </c>
      <c r="AE97" s="69">
        <f t="shared" si="15"/>
        <v>0</v>
      </c>
      <c r="AF97" s="69">
        <f>IFERROR(AD97*INDEX('BEES Data'!$B$15:$AL$15,1,MATCH('LED Lighting Estimator'!AA97,'BEES Data'!$B$5:$AL$5)),0)</f>
        <v>0</v>
      </c>
      <c r="AG97" s="93">
        <f t="shared" si="19"/>
        <v>0</v>
      </c>
    </row>
    <row r="98" spans="2:33" x14ac:dyDescent="0.3">
      <c r="B98" s="84"/>
      <c r="C98" s="31"/>
      <c r="D98" s="85"/>
      <c r="E98" s="31"/>
      <c r="F98" s="31"/>
      <c r="G98" s="31"/>
      <c r="H98" s="31"/>
      <c r="I98" s="31"/>
      <c r="J98" s="31"/>
      <c r="K98" s="31"/>
      <c r="L98" s="86">
        <f>D98*SUMIFS('Lighting Power Density'!$E$3:$E$50,'Lighting Power Density'!$A$3:$A$50,'LED Lighting Estimator'!E98,'Lighting Power Density'!$B$3:$B$50,'LED Lighting Estimator'!G98,'Lighting Power Density'!$C$3:$C$50,'LED Lighting Estimator'!H98)/1000</f>
        <v>0</v>
      </c>
      <c r="M98" s="86">
        <f>D98*SUMIFS('Lighting Power Density'!$E$3:$E$50,'Lighting Power Density'!$A$3:$A$50,'LED Lighting Estimator'!E98,'Lighting Power Density'!$B$3:$B$50,"LED",'Lighting Power Density'!$C$3:$C$50,'LED Lighting Estimator'!H98)/1000</f>
        <v>0</v>
      </c>
      <c r="N98" s="58">
        <f t="shared" si="16"/>
        <v>0</v>
      </c>
      <c r="O98" s="58">
        <f>IFERROR(I98*365.25*M98*J98/7,0)*(1-IF(K98="Yes",SUMIFS('Control Benefit'!$C$12:$C$29,'Control Benefit'!$A$12:$A$29,'LED Lighting Estimator'!$D$5,'Control Benefit'!$B$12:$B$29,'LED Lighting Estimator'!$F98),0))</f>
        <v>0</v>
      </c>
      <c r="P98" s="86" t="str">
        <f>IFERROR((I98*365.25)/SUMIFS('Lighting Power Density'!$F$3:$F$50,'Lighting Power Density'!$A$3:$A$50,'LED Lighting Estimator'!$E98,'Lighting Power Density'!$B$3:$B$50,'LED Lighting Estimator'!$G98,'Lighting Power Density'!$C$3:$C$50,'LED Lighting Estimator'!$H98),"-")</f>
        <v>-</v>
      </c>
      <c r="Q98" s="86" t="str">
        <f>IFERROR((I98*365.25)/SUMIFS('Lighting Power Density'!$F$3:$F$50,'Lighting Power Density'!$A$3:$A$50,'LED Lighting Estimator'!$E98,'Lighting Power Density'!$B$3:$B$50,"LED",'Lighting Power Density'!$C$3:$C$50,'LED Lighting Estimator'!$H98),"-")</f>
        <v>-</v>
      </c>
      <c r="R98" s="59">
        <f t="shared" si="13"/>
        <v>0</v>
      </c>
      <c r="S98" s="59">
        <f t="shared" si="14"/>
        <v>0</v>
      </c>
      <c r="T98" s="59">
        <f>M98*IFERROR(SUMIFS('LED Costs'!$C$4:$C$22,'LED Costs'!$A$4:$A$22,'LED Lighting Estimator'!$D$5,'LED Costs'!$B$4:$B$22,'LED Lighting Estimator'!$F98)*1000,0)-IF($K98="No",$D98*SUMIFS('Control Benefit'!$E$12:$E$29,'Control Benefit'!$A$12:$A$29,'LED Lighting Estimator'!$D$5,'Control Benefit'!$B$12:$B$29,'LED Lighting Estimator'!$F98),0)</f>
        <v>0</v>
      </c>
      <c r="U98" s="59">
        <f t="shared" si="17"/>
        <v>0</v>
      </c>
      <c r="V98" s="59">
        <f>IFERROR(D98*P98*(SUMIFS('Other Costs'!$F$2:$F$19,'Other Costs'!$A$2:$A$19,'LED Lighting Estimator'!G98,'Other Costs'!$C$2:$C$19,'LED Lighting Estimator'!H98)+$D$9),0)</f>
        <v>0</v>
      </c>
      <c r="W98" s="60">
        <f>IFERROR(D98*Q98*(M98*SUMIFS('LED Costs'!$C$4:$C$22,'LED Costs'!$A$4:$A$22,$D$5,'LED Costs'!$B$4:$B$22,'LED Lighting Estimator'!$F98)/1000+'LED Lighting Estimator'!$D$9),0)</f>
        <v>0</v>
      </c>
      <c r="X98" s="61">
        <f t="shared" si="18"/>
        <v>0</v>
      </c>
      <c r="Y98" s="61">
        <f>IFERROR(($N98-$O98)*'Emission factors'!$D$4,0)</f>
        <v>0</v>
      </c>
      <c r="AA98" s="84"/>
      <c r="AB98" s="84"/>
      <c r="AC98" s="68" t="str">
        <f>IFERROR(D98*INDEX('BEES Data'!$B$6:$AL$9,MATCH('LED Lighting Estimator'!AB98,'BEES Data'!$A$6:$A$9,0),MATCH('LED Lighting Estimator'!AA98,'BEES Data'!$B$5:$AL$5,0)),"-")</f>
        <v>-</v>
      </c>
      <c r="AD98" s="68">
        <f>IFERROR(AC98*INDEX('BEES Data'!$B$14:$AL$14,1,MATCH('LED Lighting Estimator'!AA98,'BEES Data'!$B$5:$AL$5,0)),0)</f>
        <v>0</v>
      </c>
      <c r="AE98" s="69">
        <f t="shared" si="15"/>
        <v>0</v>
      </c>
      <c r="AF98" s="69">
        <f>IFERROR(AD98*INDEX('BEES Data'!$B$15:$AL$15,1,MATCH('LED Lighting Estimator'!AA98,'BEES Data'!$B$5:$AL$5)),0)</f>
        <v>0</v>
      </c>
      <c r="AG98" s="93">
        <f t="shared" si="19"/>
        <v>0</v>
      </c>
    </row>
    <row r="99" spans="2:33" x14ac:dyDescent="0.3">
      <c r="B99" s="84"/>
      <c r="C99" s="31"/>
      <c r="D99" s="85"/>
      <c r="E99" s="31"/>
      <c r="F99" s="31"/>
      <c r="G99" s="31"/>
      <c r="H99" s="31"/>
      <c r="I99" s="31"/>
      <c r="J99" s="31"/>
      <c r="K99" s="31"/>
      <c r="L99" s="86">
        <f>D99*SUMIFS('Lighting Power Density'!$E$3:$E$50,'Lighting Power Density'!$A$3:$A$50,'LED Lighting Estimator'!E99,'Lighting Power Density'!$B$3:$B$50,'LED Lighting Estimator'!G99,'Lighting Power Density'!$C$3:$C$50,'LED Lighting Estimator'!H99)/1000</f>
        <v>0</v>
      </c>
      <c r="M99" s="86">
        <f>D99*SUMIFS('Lighting Power Density'!$E$3:$E$50,'Lighting Power Density'!$A$3:$A$50,'LED Lighting Estimator'!E99,'Lighting Power Density'!$B$3:$B$50,"LED",'Lighting Power Density'!$C$3:$C$50,'LED Lighting Estimator'!H99)/1000</f>
        <v>0</v>
      </c>
      <c r="N99" s="58">
        <f t="shared" si="16"/>
        <v>0</v>
      </c>
      <c r="O99" s="58">
        <f>IFERROR(I99*365.25*M99*J99/7,0)*(1-IF(K99="Yes",SUMIFS('Control Benefit'!$C$12:$C$29,'Control Benefit'!$A$12:$A$29,'LED Lighting Estimator'!$D$5,'Control Benefit'!$B$12:$B$29,'LED Lighting Estimator'!$F99),0))</f>
        <v>0</v>
      </c>
      <c r="P99" s="86" t="str">
        <f>IFERROR((I99*365.25)/SUMIFS('Lighting Power Density'!$F$3:$F$50,'Lighting Power Density'!$A$3:$A$50,'LED Lighting Estimator'!$E99,'Lighting Power Density'!$B$3:$B$50,'LED Lighting Estimator'!$G99,'Lighting Power Density'!$C$3:$C$50,'LED Lighting Estimator'!$H99),"-")</f>
        <v>-</v>
      </c>
      <c r="Q99" s="86" t="str">
        <f>IFERROR((I99*365.25)/SUMIFS('Lighting Power Density'!$F$3:$F$50,'Lighting Power Density'!$A$3:$A$50,'LED Lighting Estimator'!$E99,'Lighting Power Density'!$B$3:$B$50,"LED",'Lighting Power Density'!$C$3:$C$50,'LED Lighting Estimator'!$H99),"-")</f>
        <v>-</v>
      </c>
      <c r="R99" s="59">
        <f t="shared" si="13"/>
        <v>0</v>
      </c>
      <c r="S99" s="59">
        <f t="shared" si="14"/>
        <v>0</v>
      </c>
      <c r="T99" s="59">
        <f>M99*IFERROR(SUMIFS('LED Costs'!$C$4:$C$22,'LED Costs'!$A$4:$A$22,'LED Lighting Estimator'!$D$5,'LED Costs'!$B$4:$B$22,'LED Lighting Estimator'!$F99)*1000,0)-IF($K99="No",$D99*SUMIFS('Control Benefit'!$E$12:$E$29,'Control Benefit'!$A$12:$A$29,'LED Lighting Estimator'!$D$5,'Control Benefit'!$B$12:$B$29,'LED Lighting Estimator'!$F99),0)</f>
        <v>0</v>
      </c>
      <c r="U99" s="59">
        <f t="shared" si="17"/>
        <v>0</v>
      </c>
      <c r="V99" s="59">
        <f>IFERROR(D99*P99*(SUMIFS('Other Costs'!$F$2:$F$19,'Other Costs'!$A$2:$A$19,'LED Lighting Estimator'!G99,'Other Costs'!$C$2:$C$19,'LED Lighting Estimator'!H99)+$D$9),0)</f>
        <v>0</v>
      </c>
      <c r="W99" s="60">
        <f>IFERROR(D99*Q99*(M99*SUMIFS('LED Costs'!$C$4:$C$22,'LED Costs'!$A$4:$A$22,$D$5,'LED Costs'!$B$4:$B$22,'LED Lighting Estimator'!$F99)/1000+'LED Lighting Estimator'!$D$9),0)</f>
        <v>0</v>
      </c>
      <c r="X99" s="61">
        <f t="shared" si="18"/>
        <v>0</v>
      </c>
      <c r="Y99" s="61">
        <f>IFERROR(($N99-$O99)*'Emission factors'!$D$4,0)</f>
        <v>0</v>
      </c>
      <c r="AA99" s="84"/>
      <c r="AB99" s="84"/>
      <c r="AC99" s="68" t="str">
        <f>IFERROR(D99*INDEX('BEES Data'!$B$6:$AL$9,MATCH('LED Lighting Estimator'!AB99,'BEES Data'!$A$6:$A$9,0),MATCH('LED Lighting Estimator'!AA99,'BEES Data'!$B$5:$AL$5,0)),"-")</f>
        <v>-</v>
      </c>
      <c r="AD99" s="68">
        <f>IFERROR(AC99*INDEX('BEES Data'!$B$14:$AL$14,1,MATCH('LED Lighting Estimator'!AA99,'BEES Data'!$B$5:$AL$5,0)),0)</f>
        <v>0</v>
      </c>
      <c r="AE99" s="69">
        <f t="shared" si="15"/>
        <v>0</v>
      </c>
      <c r="AF99" s="69">
        <f>IFERROR(AD99*INDEX('BEES Data'!$B$15:$AL$15,1,MATCH('LED Lighting Estimator'!AA99,'BEES Data'!$B$5:$AL$5)),0)</f>
        <v>0</v>
      </c>
      <c r="AG99" s="93">
        <f t="shared" si="19"/>
        <v>0</v>
      </c>
    </row>
    <row r="100" spans="2:33" x14ac:dyDescent="0.3">
      <c r="B100" s="84"/>
      <c r="C100" s="31"/>
      <c r="D100" s="85"/>
      <c r="E100" s="31"/>
      <c r="F100" s="31"/>
      <c r="G100" s="31"/>
      <c r="H100" s="31"/>
      <c r="I100" s="31"/>
      <c r="J100" s="31"/>
      <c r="K100" s="31"/>
      <c r="L100" s="86">
        <f>D100*SUMIFS('Lighting Power Density'!$E$3:$E$50,'Lighting Power Density'!$A$3:$A$50,'LED Lighting Estimator'!E100,'Lighting Power Density'!$B$3:$B$50,'LED Lighting Estimator'!G100,'Lighting Power Density'!$C$3:$C$50,'LED Lighting Estimator'!H100)/1000</f>
        <v>0</v>
      </c>
      <c r="M100" s="86">
        <f>D100*SUMIFS('Lighting Power Density'!$E$3:$E$50,'Lighting Power Density'!$A$3:$A$50,'LED Lighting Estimator'!E100,'Lighting Power Density'!$B$3:$B$50,"LED",'Lighting Power Density'!$C$3:$C$50,'LED Lighting Estimator'!H100)/1000</f>
        <v>0</v>
      </c>
      <c r="N100" s="58">
        <f t="shared" si="16"/>
        <v>0</v>
      </c>
      <c r="O100" s="58">
        <f>IFERROR(I100*365.25*M100*J100/7,0)*(1-IF(K100="Yes",SUMIFS('Control Benefit'!$C$12:$C$29,'Control Benefit'!$A$12:$A$29,'LED Lighting Estimator'!$D$5,'Control Benefit'!$B$12:$B$29,'LED Lighting Estimator'!$F100),0))</f>
        <v>0</v>
      </c>
      <c r="P100" s="86" t="str">
        <f>IFERROR((I100*365.25)/SUMIFS('Lighting Power Density'!$F$3:$F$50,'Lighting Power Density'!$A$3:$A$50,'LED Lighting Estimator'!$E100,'Lighting Power Density'!$B$3:$B$50,'LED Lighting Estimator'!$G100,'Lighting Power Density'!$C$3:$C$50,'LED Lighting Estimator'!$H100),"-")</f>
        <v>-</v>
      </c>
      <c r="Q100" s="86" t="str">
        <f>IFERROR((I100*365.25)/SUMIFS('Lighting Power Density'!$F$3:$F$50,'Lighting Power Density'!$A$3:$A$50,'LED Lighting Estimator'!$E100,'Lighting Power Density'!$B$3:$B$50,"LED",'Lighting Power Density'!$C$3:$C$50,'LED Lighting Estimator'!$H100),"-")</f>
        <v>-</v>
      </c>
      <c r="R100" s="59">
        <f t="shared" si="13"/>
        <v>0</v>
      </c>
      <c r="S100" s="59">
        <f t="shared" si="14"/>
        <v>0</v>
      </c>
      <c r="T100" s="59">
        <f>M100*IFERROR(SUMIFS('LED Costs'!$C$4:$C$22,'LED Costs'!$A$4:$A$22,'LED Lighting Estimator'!$D$5,'LED Costs'!$B$4:$B$22,'LED Lighting Estimator'!$F100)*1000,0)-IF($K100="No",$D100*SUMIFS('Control Benefit'!$E$12:$E$29,'Control Benefit'!$A$12:$A$29,'LED Lighting Estimator'!$D$5,'Control Benefit'!$B$12:$B$29,'LED Lighting Estimator'!$F100),0)</f>
        <v>0</v>
      </c>
      <c r="U100" s="59">
        <f t="shared" si="17"/>
        <v>0</v>
      </c>
      <c r="V100" s="59">
        <f>IFERROR(D100*P100*(SUMIFS('Other Costs'!$F$2:$F$19,'Other Costs'!$A$2:$A$19,'LED Lighting Estimator'!G100,'Other Costs'!$C$2:$C$19,'LED Lighting Estimator'!H100)+$D$9),0)</f>
        <v>0</v>
      </c>
      <c r="W100" s="60">
        <f>IFERROR(D100*Q100*(M100*SUMIFS('LED Costs'!$C$4:$C$22,'LED Costs'!$A$4:$A$22,$D$5,'LED Costs'!$B$4:$B$22,'LED Lighting Estimator'!$F100)/1000+'LED Lighting Estimator'!$D$9),0)</f>
        <v>0</v>
      </c>
      <c r="X100" s="61">
        <f t="shared" si="18"/>
        <v>0</v>
      </c>
      <c r="Y100" s="61">
        <f>IFERROR(($N100-$O100)*'Emission factors'!$D$4,0)</f>
        <v>0</v>
      </c>
      <c r="AA100" s="84"/>
      <c r="AB100" s="84"/>
      <c r="AC100" s="68" t="str">
        <f>IFERROR(D100*INDEX('BEES Data'!$B$6:$AL$9,MATCH('LED Lighting Estimator'!AB100,'BEES Data'!$A$6:$A$9,0),MATCH('LED Lighting Estimator'!AA100,'BEES Data'!$B$5:$AL$5,0)),"-")</f>
        <v>-</v>
      </c>
      <c r="AD100" s="68">
        <f>IFERROR(AC100*INDEX('BEES Data'!$B$14:$AL$14,1,MATCH('LED Lighting Estimator'!AA100,'BEES Data'!$B$5:$AL$5,0)),0)</f>
        <v>0</v>
      </c>
      <c r="AE100" s="69">
        <f t="shared" si="15"/>
        <v>0</v>
      </c>
      <c r="AF100" s="69">
        <f>IFERROR(AD100*INDEX('BEES Data'!$B$15:$AL$15,1,MATCH('LED Lighting Estimator'!AA100,'BEES Data'!$B$5:$AL$5)),0)</f>
        <v>0</v>
      </c>
      <c r="AG100" s="93">
        <f t="shared" si="19"/>
        <v>0</v>
      </c>
    </row>
    <row r="101" spans="2:33" x14ac:dyDescent="0.3">
      <c r="B101" s="84"/>
      <c r="C101" s="31"/>
      <c r="D101" s="85"/>
      <c r="E101" s="31"/>
      <c r="F101" s="31"/>
      <c r="G101" s="31"/>
      <c r="H101" s="31"/>
      <c r="I101" s="31"/>
      <c r="J101" s="31"/>
      <c r="K101" s="31"/>
      <c r="L101" s="86">
        <f>D101*SUMIFS('Lighting Power Density'!$E$3:$E$50,'Lighting Power Density'!$A$3:$A$50,'LED Lighting Estimator'!E101,'Lighting Power Density'!$B$3:$B$50,'LED Lighting Estimator'!G101,'Lighting Power Density'!$C$3:$C$50,'LED Lighting Estimator'!H101)/1000</f>
        <v>0</v>
      </c>
      <c r="M101" s="86">
        <f>D101*SUMIFS('Lighting Power Density'!$E$3:$E$50,'Lighting Power Density'!$A$3:$A$50,'LED Lighting Estimator'!E101,'Lighting Power Density'!$B$3:$B$50,"LED",'Lighting Power Density'!$C$3:$C$50,'LED Lighting Estimator'!H101)/1000</f>
        <v>0</v>
      </c>
      <c r="N101" s="58">
        <f t="shared" si="16"/>
        <v>0</v>
      </c>
      <c r="O101" s="58">
        <f>IFERROR(I101*365.25*M101*J101/7,0)*(1-IF(K101="Yes",SUMIFS('Control Benefit'!$C$12:$C$29,'Control Benefit'!$A$12:$A$29,'LED Lighting Estimator'!$D$5,'Control Benefit'!$B$12:$B$29,'LED Lighting Estimator'!$F101),0))</f>
        <v>0</v>
      </c>
      <c r="P101" s="86" t="str">
        <f>IFERROR((I101*365.25)/SUMIFS('Lighting Power Density'!$F$3:$F$50,'Lighting Power Density'!$A$3:$A$50,'LED Lighting Estimator'!$E101,'Lighting Power Density'!$B$3:$B$50,'LED Lighting Estimator'!$G101,'Lighting Power Density'!$C$3:$C$50,'LED Lighting Estimator'!$H101),"-")</f>
        <v>-</v>
      </c>
      <c r="Q101" s="86" t="str">
        <f>IFERROR((I101*365.25)/SUMIFS('Lighting Power Density'!$F$3:$F$50,'Lighting Power Density'!$A$3:$A$50,'LED Lighting Estimator'!$E101,'Lighting Power Density'!$B$3:$B$50,"LED",'Lighting Power Density'!$C$3:$C$50,'LED Lighting Estimator'!$H101),"-")</f>
        <v>-</v>
      </c>
      <c r="R101" s="59">
        <f t="shared" si="13"/>
        <v>0</v>
      </c>
      <c r="S101" s="59">
        <f t="shared" si="14"/>
        <v>0</v>
      </c>
      <c r="T101" s="59">
        <f>M101*IFERROR(SUMIFS('LED Costs'!$C$4:$C$22,'LED Costs'!$A$4:$A$22,'LED Lighting Estimator'!$D$5,'LED Costs'!$B$4:$B$22,'LED Lighting Estimator'!$F101)*1000,0)-IF($K101="No",$D101*SUMIFS('Control Benefit'!$E$12:$E$29,'Control Benefit'!$A$12:$A$29,'LED Lighting Estimator'!$D$5,'Control Benefit'!$B$12:$B$29,'LED Lighting Estimator'!$F101),0)</f>
        <v>0</v>
      </c>
      <c r="U101" s="59">
        <f t="shared" si="17"/>
        <v>0</v>
      </c>
      <c r="V101" s="59">
        <f>IFERROR(D101*P101*(SUMIFS('Other Costs'!$F$2:$F$19,'Other Costs'!$A$2:$A$19,'LED Lighting Estimator'!G101,'Other Costs'!$C$2:$C$19,'LED Lighting Estimator'!H101)+$D$9),0)</f>
        <v>0</v>
      </c>
      <c r="W101" s="60">
        <f>IFERROR(D101*Q101*(M101*SUMIFS('LED Costs'!$C$4:$C$22,'LED Costs'!$A$4:$A$22,$D$5,'LED Costs'!$B$4:$B$22,'LED Lighting Estimator'!$F101)/1000+'LED Lighting Estimator'!$D$9),0)</f>
        <v>0</v>
      </c>
      <c r="X101" s="61">
        <f t="shared" si="18"/>
        <v>0</v>
      </c>
      <c r="Y101" s="61">
        <f>IFERROR(($N101-$O101)*'Emission factors'!$D$4,0)</f>
        <v>0</v>
      </c>
      <c r="AA101" s="84"/>
      <c r="AB101" s="84"/>
      <c r="AC101" s="68" t="str">
        <f>IFERROR(D101*INDEX('BEES Data'!$B$6:$AL$9,MATCH('LED Lighting Estimator'!AB101,'BEES Data'!$A$6:$A$9,0),MATCH('LED Lighting Estimator'!AA101,'BEES Data'!$B$5:$AL$5,0)),"-")</f>
        <v>-</v>
      </c>
      <c r="AD101" s="68">
        <f>IFERROR(AC101*INDEX('BEES Data'!$B$14:$AL$14,1,MATCH('LED Lighting Estimator'!AA101,'BEES Data'!$B$5:$AL$5,0)),0)</f>
        <v>0</v>
      </c>
      <c r="AE101" s="69">
        <f t="shared" si="15"/>
        <v>0</v>
      </c>
      <c r="AF101" s="69">
        <f>IFERROR(AD101*INDEX('BEES Data'!$B$15:$AL$15,1,MATCH('LED Lighting Estimator'!AA101,'BEES Data'!$B$5:$AL$5)),0)</f>
        <v>0</v>
      </c>
      <c r="AG101" s="93">
        <f t="shared" si="19"/>
        <v>0</v>
      </c>
    </row>
    <row r="102" spans="2:33" x14ac:dyDescent="0.3">
      <c r="B102" s="84"/>
      <c r="C102" s="31"/>
      <c r="D102" s="85"/>
      <c r="E102" s="31"/>
      <c r="F102" s="31"/>
      <c r="G102" s="31"/>
      <c r="H102" s="31"/>
      <c r="I102" s="31"/>
      <c r="J102" s="31"/>
      <c r="K102" s="31"/>
      <c r="L102" s="86">
        <f>D102*SUMIFS('Lighting Power Density'!$E$3:$E$50,'Lighting Power Density'!$A$3:$A$50,'LED Lighting Estimator'!E102,'Lighting Power Density'!$B$3:$B$50,'LED Lighting Estimator'!G102,'Lighting Power Density'!$C$3:$C$50,'LED Lighting Estimator'!H102)/1000</f>
        <v>0</v>
      </c>
      <c r="M102" s="86">
        <f>D102*SUMIFS('Lighting Power Density'!$E$3:$E$50,'Lighting Power Density'!$A$3:$A$50,'LED Lighting Estimator'!E102,'Lighting Power Density'!$B$3:$B$50,"LED",'Lighting Power Density'!$C$3:$C$50,'LED Lighting Estimator'!H102)/1000</f>
        <v>0</v>
      </c>
      <c r="N102" s="58">
        <f t="shared" si="16"/>
        <v>0</v>
      </c>
      <c r="O102" s="58">
        <f>IFERROR(I102*365.25*M102*J102/7,0)*(1-IF(K102="Yes",SUMIFS('Control Benefit'!$C$12:$C$29,'Control Benefit'!$A$12:$A$29,'LED Lighting Estimator'!$D$5,'Control Benefit'!$B$12:$B$29,'LED Lighting Estimator'!$F102),0))</f>
        <v>0</v>
      </c>
      <c r="P102" s="86" t="str">
        <f>IFERROR((I102*365.25)/SUMIFS('Lighting Power Density'!$F$3:$F$50,'Lighting Power Density'!$A$3:$A$50,'LED Lighting Estimator'!$E102,'Lighting Power Density'!$B$3:$B$50,'LED Lighting Estimator'!$G102,'Lighting Power Density'!$C$3:$C$50,'LED Lighting Estimator'!$H102),"-")</f>
        <v>-</v>
      </c>
      <c r="Q102" s="86" t="str">
        <f>IFERROR((I102*365.25)/SUMIFS('Lighting Power Density'!$F$3:$F$50,'Lighting Power Density'!$A$3:$A$50,'LED Lighting Estimator'!$E102,'Lighting Power Density'!$B$3:$B$50,"LED",'Lighting Power Density'!$C$3:$C$50,'LED Lighting Estimator'!$H102),"-")</f>
        <v>-</v>
      </c>
      <c r="R102" s="59">
        <f t="shared" si="13"/>
        <v>0</v>
      </c>
      <c r="S102" s="59">
        <f t="shared" si="14"/>
        <v>0</v>
      </c>
      <c r="T102" s="59">
        <f>M102*IFERROR(SUMIFS('LED Costs'!$C$4:$C$22,'LED Costs'!$A$4:$A$22,'LED Lighting Estimator'!$D$5,'LED Costs'!$B$4:$B$22,'LED Lighting Estimator'!$F102)*1000,0)-IF($K102="No",$D102*SUMIFS('Control Benefit'!$E$12:$E$29,'Control Benefit'!$A$12:$A$29,'LED Lighting Estimator'!$D$5,'Control Benefit'!$B$12:$B$29,'LED Lighting Estimator'!$F102),0)</f>
        <v>0</v>
      </c>
      <c r="U102" s="59">
        <f t="shared" si="17"/>
        <v>0</v>
      </c>
      <c r="V102" s="59">
        <f>IFERROR(D102*P102*(SUMIFS('Other Costs'!$F$2:$F$19,'Other Costs'!$A$2:$A$19,'LED Lighting Estimator'!G102,'Other Costs'!$C$2:$C$19,'LED Lighting Estimator'!H102)+$D$9),0)</f>
        <v>0</v>
      </c>
      <c r="W102" s="60">
        <f>IFERROR(D102*Q102*(M102*SUMIFS('LED Costs'!$C$4:$C$22,'LED Costs'!$A$4:$A$22,$D$5,'LED Costs'!$B$4:$B$22,'LED Lighting Estimator'!$F102)/1000+'LED Lighting Estimator'!$D$9),0)</f>
        <v>0</v>
      </c>
      <c r="X102" s="61">
        <f t="shared" si="18"/>
        <v>0</v>
      </c>
      <c r="Y102" s="61">
        <f>IFERROR(($N102-$O102)*'Emission factors'!$D$4,0)</f>
        <v>0</v>
      </c>
      <c r="AA102" s="84"/>
      <c r="AB102" s="84"/>
      <c r="AC102" s="68" t="str">
        <f>IFERROR(D102*INDEX('BEES Data'!$B$6:$AL$9,MATCH('LED Lighting Estimator'!AB102,'BEES Data'!$A$6:$A$9,0),MATCH('LED Lighting Estimator'!AA102,'BEES Data'!$B$5:$AL$5,0)),"-")</f>
        <v>-</v>
      </c>
      <c r="AD102" s="68">
        <f>IFERROR(AC102*INDEX('BEES Data'!$B$14:$AL$14,1,MATCH('LED Lighting Estimator'!AA102,'BEES Data'!$B$5:$AL$5,0)),0)</f>
        <v>0</v>
      </c>
      <c r="AE102" s="69">
        <f t="shared" si="15"/>
        <v>0</v>
      </c>
      <c r="AF102" s="69">
        <f>IFERROR(AD102*INDEX('BEES Data'!$B$15:$AL$15,1,MATCH('LED Lighting Estimator'!AA102,'BEES Data'!$B$5:$AL$5)),0)</f>
        <v>0</v>
      </c>
      <c r="AG102" s="93">
        <f t="shared" si="19"/>
        <v>0</v>
      </c>
    </row>
    <row r="103" spans="2:33" x14ac:dyDescent="0.3">
      <c r="B103" s="84"/>
      <c r="C103" s="31"/>
      <c r="D103" s="85"/>
      <c r="E103" s="31"/>
      <c r="F103" s="31"/>
      <c r="G103" s="31"/>
      <c r="H103" s="31"/>
      <c r="I103" s="31"/>
      <c r="J103" s="31"/>
      <c r="K103" s="31"/>
      <c r="L103" s="86">
        <f>D103*SUMIFS('Lighting Power Density'!$E$3:$E$50,'Lighting Power Density'!$A$3:$A$50,'LED Lighting Estimator'!E103,'Lighting Power Density'!$B$3:$B$50,'LED Lighting Estimator'!G103,'Lighting Power Density'!$C$3:$C$50,'LED Lighting Estimator'!H103)/1000</f>
        <v>0</v>
      </c>
      <c r="M103" s="86">
        <f>D103*SUMIFS('Lighting Power Density'!$E$3:$E$50,'Lighting Power Density'!$A$3:$A$50,'LED Lighting Estimator'!E103,'Lighting Power Density'!$B$3:$B$50,"LED",'Lighting Power Density'!$C$3:$C$50,'LED Lighting Estimator'!H103)/1000</f>
        <v>0</v>
      </c>
      <c r="N103" s="58">
        <f t="shared" si="16"/>
        <v>0</v>
      </c>
      <c r="O103" s="58">
        <f>IFERROR(I103*365.25*M103*J103/7,0)*(1-IF(K103="Yes",SUMIFS('Control Benefit'!$C$12:$C$29,'Control Benefit'!$A$12:$A$29,'LED Lighting Estimator'!$D$5,'Control Benefit'!$B$12:$B$29,'LED Lighting Estimator'!$F103),0))</f>
        <v>0</v>
      </c>
      <c r="P103" s="86" t="str">
        <f>IFERROR((I103*365.25)/SUMIFS('Lighting Power Density'!$F$3:$F$50,'Lighting Power Density'!$A$3:$A$50,'LED Lighting Estimator'!$E103,'Lighting Power Density'!$B$3:$B$50,'LED Lighting Estimator'!$G103,'Lighting Power Density'!$C$3:$C$50,'LED Lighting Estimator'!$H103),"-")</f>
        <v>-</v>
      </c>
      <c r="Q103" s="86" t="str">
        <f>IFERROR((I103*365.25)/SUMIFS('Lighting Power Density'!$F$3:$F$50,'Lighting Power Density'!$A$3:$A$50,'LED Lighting Estimator'!$E103,'Lighting Power Density'!$B$3:$B$50,"LED",'Lighting Power Density'!$C$3:$C$50,'LED Lighting Estimator'!$H103),"-")</f>
        <v>-</v>
      </c>
      <c r="R103" s="59">
        <f t="shared" si="13"/>
        <v>0</v>
      </c>
      <c r="S103" s="59">
        <f t="shared" si="14"/>
        <v>0</v>
      </c>
      <c r="T103" s="59">
        <f>M103*IFERROR(SUMIFS('LED Costs'!$C$4:$C$22,'LED Costs'!$A$4:$A$22,'LED Lighting Estimator'!$D$5,'LED Costs'!$B$4:$B$22,'LED Lighting Estimator'!$F103)*1000,0)-IF($K103="No",$D103*SUMIFS('Control Benefit'!$E$12:$E$29,'Control Benefit'!$A$12:$A$29,'LED Lighting Estimator'!$D$5,'Control Benefit'!$B$12:$B$29,'LED Lighting Estimator'!$F103),0)</f>
        <v>0</v>
      </c>
      <c r="U103" s="59">
        <f t="shared" si="17"/>
        <v>0</v>
      </c>
      <c r="V103" s="59">
        <f>IFERROR(D103*P103*(SUMIFS('Other Costs'!$F$2:$F$19,'Other Costs'!$A$2:$A$19,'LED Lighting Estimator'!G103,'Other Costs'!$C$2:$C$19,'LED Lighting Estimator'!H103)+$D$9),0)</f>
        <v>0</v>
      </c>
      <c r="W103" s="60">
        <f>IFERROR(D103*Q103*(M103*SUMIFS('LED Costs'!$C$4:$C$22,'LED Costs'!$A$4:$A$22,$D$5,'LED Costs'!$B$4:$B$22,'LED Lighting Estimator'!$F103)/1000+'LED Lighting Estimator'!$D$9),0)</f>
        <v>0</v>
      </c>
      <c r="X103" s="61">
        <f t="shared" si="18"/>
        <v>0</v>
      </c>
      <c r="Y103" s="61">
        <f>IFERROR(($N103-$O103)*'Emission factors'!$D$4,0)</f>
        <v>0</v>
      </c>
      <c r="AA103" s="84"/>
      <c r="AB103" s="84"/>
      <c r="AC103" s="68" t="str">
        <f>IFERROR(D103*INDEX('BEES Data'!$B$6:$AL$9,MATCH('LED Lighting Estimator'!AB103,'BEES Data'!$A$6:$A$9,0),MATCH('LED Lighting Estimator'!AA103,'BEES Data'!$B$5:$AL$5,0)),"-")</f>
        <v>-</v>
      </c>
      <c r="AD103" s="68">
        <f>IFERROR(AC103*INDEX('BEES Data'!$B$14:$AL$14,1,MATCH('LED Lighting Estimator'!AA103,'BEES Data'!$B$5:$AL$5,0)),0)</f>
        <v>0</v>
      </c>
      <c r="AE103" s="69">
        <f t="shared" si="15"/>
        <v>0</v>
      </c>
      <c r="AF103" s="69">
        <f>IFERROR(AD103*INDEX('BEES Data'!$B$15:$AL$15,1,MATCH('LED Lighting Estimator'!AA103,'BEES Data'!$B$5:$AL$5)),0)</f>
        <v>0</v>
      </c>
      <c r="AG103" s="93">
        <f t="shared" si="19"/>
        <v>0</v>
      </c>
    </row>
    <row r="104" spans="2:33" x14ac:dyDescent="0.3">
      <c r="B104" s="84"/>
      <c r="C104" s="31"/>
      <c r="D104" s="85"/>
      <c r="E104" s="31"/>
      <c r="F104" s="31"/>
      <c r="G104" s="31"/>
      <c r="H104" s="31"/>
      <c r="I104" s="31"/>
      <c r="J104" s="31"/>
      <c r="K104" s="31"/>
      <c r="L104" s="86">
        <f>D104*SUMIFS('Lighting Power Density'!$E$3:$E$50,'Lighting Power Density'!$A$3:$A$50,'LED Lighting Estimator'!E104,'Lighting Power Density'!$B$3:$B$50,'LED Lighting Estimator'!G104,'Lighting Power Density'!$C$3:$C$50,'LED Lighting Estimator'!H104)/1000</f>
        <v>0</v>
      </c>
      <c r="M104" s="86">
        <f>D104*SUMIFS('Lighting Power Density'!$E$3:$E$50,'Lighting Power Density'!$A$3:$A$50,'LED Lighting Estimator'!E104,'Lighting Power Density'!$B$3:$B$50,"LED",'Lighting Power Density'!$C$3:$C$50,'LED Lighting Estimator'!H104)/1000</f>
        <v>0</v>
      </c>
      <c r="N104" s="58">
        <f t="shared" si="16"/>
        <v>0</v>
      </c>
      <c r="O104" s="58">
        <f>IFERROR(I104*365.25*M104*J104/7,0)*(1-IF(K104="Yes",SUMIFS('Control Benefit'!$C$12:$C$29,'Control Benefit'!$A$12:$A$29,'LED Lighting Estimator'!$D$5,'Control Benefit'!$B$12:$B$29,'LED Lighting Estimator'!$F104),0))</f>
        <v>0</v>
      </c>
      <c r="P104" s="86" t="str">
        <f>IFERROR((I104*365.25)/SUMIFS('Lighting Power Density'!$F$3:$F$50,'Lighting Power Density'!$A$3:$A$50,'LED Lighting Estimator'!$E104,'Lighting Power Density'!$B$3:$B$50,'LED Lighting Estimator'!$G104,'Lighting Power Density'!$C$3:$C$50,'LED Lighting Estimator'!$H104),"-")</f>
        <v>-</v>
      </c>
      <c r="Q104" s="86" t="str">
        <f>IFERROR((I104*365.25)/SUMIFS('Lighting Power Density'!$F$3:$F$50,'Lighting Power Density'!$A$3:$A$50,'LED Lighting Estimator'!$E104,'Lighting Power Density'!$B$3:$B$50,"LED",'Lighting Power Density'!$C$3:$C$50,'LED Lighting Estimator'!$H104),"-")</f>
        <v>-</v>
      </c>
      <c r="R104" s="59">
        <f t="shared" si="13"/>
        <v>0</v>
      </c>
      <c r="S104" s="59">
        <f t="shared" si="14"/>
        <v>0</v>
      </c>
      <c r="T104" s="59">
        <f>M104*IFERROR(SUMIFS('LED Costs'!$C$4:$C$22,'LED Costs'!$A$4:$A$22,'LED Lighting Estimator'!$D$5,'LED Costs'!$B$4:$B$22,'LED Lighting Estimator'!$F104)*1000,0)-IF($K104="No",$D104*SUMIFS('Control Benefit'!$E$12:$E$29,'Control Benefit'!$A$12:$A$29,'LED Lighting Estimator'!$D$5,'Control Benefit'!$B$12:$B$29,'LED Lighting Estimator'!$F104),0)</f>
        <v>0</v>
      </c>
      <c r="U104" s="59">
        <f t="shared" si="17"/>
        <v>0</v>
      </c>
      <c r="V104" s="59">
        <f>IFERROR(D104*P104*(SUMIFS('Other Costs'!$F$2:$F$19,'Other Costs'!$A$2:$A$19,'LED Lighting Estimator'!G104,'Other Costs'!$C$2:$C$19,'LED Lighting Estimator'!H104)+$D$9),0)</f>
        <v>0</v>
      </c>
      <c r="W104" s="60">
        <f>IFERROR(D104*Q104*(M104*SUMIFS('LED Costs'!$C$4:$C$22,'LED Costs'!$A$4:$A$22,$D$5,'LED Costs'!$B$4:$B$22,'LED Lighting Estimator'!$F104)/1000+'LED Lighting Estimator'!$D$9),0)</f>
        <v>0</v>
      </c>
      <c r="X104" s="61">
        <f t="shared" si="18"/>
        <v>0</v>
      </c>
      <c r="Y104" s="61">
        <f>IFERROR(($N104-$O104)*'Emission factors'!$D$4,0)</f>
        <v>0</v>
      </c>
      <c r="AA104" s="84"/>
      <c r="AB104" s="84"/>
      <c r="AC104" s="68" t="str">
        <f>IFERROR(D104*INDEX('BEES Data'!$B$6:$AL$9,MATCH('LED Lighting Estimator'!AB104,'BEES Data'!$A$6:$A$9,0),MATCH('LED Lighting Estimator'!AA104,'BEES Data'!$B$5:$AL$5,0)),"-")</f>
        <v>-</v>
      </c>
      <c r="AD104" s="68">
        <f>IFERROR(AC104*INDEX('BEES Data'!$B$14:$AL$14,1,MATCH('LED Lighting Estimator'!AA104,'BEES Data'!$B$5:$AL$5,0)),0)</f>
        <v>0</v>
      </c>
      <c r="AE104" s="69">
        <f t="shared" si="15"/>
        <v>0</v>
      </c>
      <c r="AF104" s="69">
        <f>IFERROR(AD104*INDEX('BEES Data'!$B$15:$AL$15,1,MATCH('LED Lighting Estimator'!AA104,'BEES Data'!$B$5:$AL$5)),0)</f>
        <v>0</v>
      </c>
      <c r="AG104" s="93">
        <f t="shared" si="19"/>
        <v>0</v>
      </c>
    </row>
    <row r="105" spans="2:33" x14ac:dyDescent="0.3">
      <c r="B105" s="84"/>
      <c r="C105" s="31"/>
      <c r="D105" s="85"/>
      <c r="E105" s="31"/>
      <c r="F105" s="31"/>
      <c r="G105" s="31"/>
      <c r="H105" s="31"/>
      <c r="I105" s="31"/>
      <c r="J105" s="31"/>
      <c r="K105" s="31"/>
      <c r="L105" s="86">
        <f>D105*SUMIFS('Lighting Power Density'!$E$3:$E$50,'Lighting Power Density'!$A$3:$A$50,'LED Lighting Estimator'!E105,'Lighting Power Density'!$B$3:$B$50,'LED Lighting Estimator'!G105,'Lighting Power Density'!$C$3:$C$50,'LED Lighting Estimator'!H105)/1000</f>
        <v>0</v>
      </c>
      <c r="M105" s="86">
        <f>D105*SUMIFS('Lighting Power Density'!$E$3:$E$50,'Lighting Power Density'!$A$3:$A$50,'LED Lighting Estimator'!E105,'Lighting Power Density'!$B$3:$B$50,"LED",'Lighting Power Density'!$C$3:$C$50,'LED Lighting Estimator'!H105)/1000</f>
        <v>0</v>
      </c>
      <c r="N105" s="58">
        <f t="shared" si="16"/>
        <v>0</v>
      </c>
      <c r="O105" s="58">
        <f>IFERROR(I105*365.25*M105*J105/7,0)*(1-IF(K105="Yes",SUMIFS('Control Benefit'!$C$12:$C$29,'Control Benefit'!$A$12:$A$29,'LED Lighting Estimator'!$D$5,'Control Benefit'!$B$12:$B$29,'LED Lighting Estimator'!$F105),0))</f>
        <v>0</v>
      </c>
      <c r="P105" s="86" t="str">
        <f>IFERROR((I105*365.25)/SUMIFS('Lighting Power Density'!$F$3:$F$50,'Lighting Power Density'!$A$3:$A$50,'LED Lighting Estimator'!$E105,'Lighting Power Density'!$B$3:$B$50,'LED Lighting Estimator'!$G105,'Lighting Power Density'!$C$3:$C$50,'LED Lighting Estimator'!$H105),"-")</f>
        <v>-</v>
      </c>
      <c r="Q105" s="86" t="str">
        <f>IFERROR((I105*365.25)/SUMIFS('Lighting Power Density'!$F$3:$F$50,'Lighting Power Density'!$A$3:$A$50,'LED Lighting Estimator'!$E105,'Lighting Power Density'!$B$3:$B$50,"LED",'Lighting Power Density'!$C$3:$C$50,'LED Lighting Estimator'!$H105),"-")</f>
        <v>-</v>
      </c>
      <c r="R105" s="59">
        <f t="shared" si="13"/>
        <v>0</v>
      </c>
      <c r="S105" s="59">
        <f t="shared" si="14"/>
        <v>0</v>
      </c>
      <c r="T105" s="59">
        <f>M105*IFERROR(SUMIFS('LED Costs'!$C$4:$C$22,'LED Costs'!$A$4:$A$22,'LED Lighting Estimator'!$D$5,'LED Costs'!$B$4:$B$22,'LED Lighting Estimator'!$F105)*1000,0)-IF($K105="No",$D105*SUMIFS('Control Benefit'!$E$12:$E$29,'Control Benefit'!$A$12:$A$29,'LED Lighting Estimator'!$D$5,'Control Benefit'!$B$12:$B$29,'LED Lighting Estimator'!$F105),0)</f>
        <v>0</v>
      </c>
      <c r="U105" s="59">
        <f t="shared" si="17"/>
        <v>0</v>
      </c>
      <c r="V105" s="59">
        <f>IFERROR(D105*P105*(SUMIFS('Other Costs'!$F$2:$F$19,'Other Costs'!$A$2:$A$19,'LED Lighting Estimator'!G105,'Other Costs'!$C$2:$C$19,'LED Lighting Estimator'!H105)+$D$9),0)</f>
        <v>0</v>
      </c>
      <c r="W105" s="60">
        <f>IFERROR(D105*Q105*(M105*SUMIFS('LED Costs'!$C$4:$C$22,'LED Costs'!$A$4:$A$22,$D$5,'LED Costs'!$B$4:$B$22,'LED Lighting Estimator'!$F105)/1000+'LED Lighting Estimator'!$D$9),0)</f>
        <v>0</v>
      </c>
      <c r="X105" s="61">
        <f t="shared" si="18"/>
        <v>0</v>
      </c>
      <c r="Y105" s="61">
        <f>IFERROR(($N105-$O105)*'Emission factors'!$D$4,0)</f>
        <v>0</v>
      </c>
      <c r="AA105" s="84"/>
      <c r="AB105" s="84"/>
      <c r="AC105" s="68" t="str">
        <f>IFERROR(D105*INDEX('BEES Data'!$B$6:$AL$9,MATCH('LED Lighting Estimator'!AB105,'BEES Data'!$A$6:$A$9,0),MATCH('LED Lighting Estimator'!AA105,'BEES Data'!$B$5:$AL$5,0)),"-")</f>
        <v>-</v>
      </c>
      <c r="AD105" s="68">
        <f>IFERROR(AC105*INDEX('BEES Data'!$B$14:$AL$14,1,MATCH('LED Lighting Estimator'!AA105,'BEES Data'!$B$5:$AL$5,0)),0)</f>
        <v>0</v>
      </c>
      <c r="AE105" s="69">
        <f t="shared" si="15"/>
        <v>0</v>
      </c>
      <c r="AF105" s="69">
        <f>IFERROR(AD105*INDEX('BEES Data'!$B$15:$AL$15,1,MATCH('LED Lighting Estimator'!AA105,'BEES Data'!$B$5:$AL$5)),0)</f>
        <v>0</v>
      </c>
      <c r="AG105" s="93">
        <f t="shared" si="19"/>
        <v>0</v>
      </c>
    </row>
    <row r="106" spans="2:33" x14ac:dyDescent="0.3">
      <c r="B106" s="84"/>
      <c r="C106" s="31"/>
      <c r="D106" s="85"/>
      <c r="E106" s="31"/>
      <c r="F106" s="31"/>
      <c r="G106" s="31"/>
      <c r="H106" s="31"/>
      <c r="I106" s="31"/>
      <c r="J106" s="31"/>
      <c r="K106" s="31"/>
      <c r="L106" s="86">
        <f>D106*SUMIFS('Lighting Power Density'!$E$3:$E$50,'Lighting Power Density'!$A$3:$A$50,'LED Lighting Estimator'!E106,'Lighting Power Density'!$B$3:$B$50,'LED Lighting Estimator'!G106,'Lighting Power Density'!$C$3:$C$50,'LED Lighting Estimator'!H106)/1000</f>
        <v>0</v>
      </c>
      <c r="M106" s="86">
        <f>D106*SUMIFS('Lighting Power Density'!$E$3:$E$50,'Lighting Power Density'!$A$3:$A$50,'LED Lighting Estimator'!E106,'Lighting Power Density'!$B$3:$B$50,"LED",'Lighting Power Density'!$C$3:$C$50,'LED Lighting Estimator'!H106)/1000</f>
        <v>0</v>
      </c>
      <c r="N106" s="58">
        <f t="shared" si="16"/>
        <v>0</v>
      </c>
      <c r="O106" s="58">
        <f>IFERROR(I106*365.25*M106*J106/7,0)*(1-IF(K106="Yes",SUMIFS('Control Benefit'!$C$12:$C$29,'Control Benefit'!$A$12:$A$29,'LED Lighting Estimator'!$D$5,'Control Benefit'!$B$12:$B$29,'LED Lighting Estimator'!$F106),0))</f>
        <v>0</v>
      </c>
      <c r="P106" s="86" t="str">
        <f>IFERROR((I106*365.25)/SUMIFS('Lighting Power Density'!$F$3:$F$50,'Lighting Power Density'!$A$3:$A$50,'LED Lighting Estimator'!$E106,'Lighting Power Density'!$B$3:$B$50,'LED Lighting Estimator'!$G106,'Lighting Power Density'!$C$3:$C$50,'LED Lighting Estimator'!$H106),"-")</f>
        <v>-</v>
      </c>
      <c r="Q106" s="86" t="str">
        <f>IFERROR((I106*365.25)/SUMIFS('Lighting Power Density'!$F$3:$F$50,'Lighting Power Density'!$A$3:$A$50,'LED Lighting Estimator'!$E106,'Lighting Power Density'!$B$3:$B$50,"LED",'Lighting Power Density'!$C$3:$C$50,'LED Lighting Estimator'!$H106),"-")</f>
        <v>-</v>
      </c>
      <c r="R106" s="59">
        <f t="shared" si="13"/>
        <v>0</v>
      </c>
      <c r="S106" s="59">
        <f t="shared" si="14"/>
        <v>0</v>
      </c>
      <c r="T106" s="59">
        <f>M106*IFERROR(SUMIFS('LED Costs'!$C$4:$C$22,'LED Costs'!$A$4:$A$22,'LED Lighting Estimator'!$D$5,'LED Costs'!$B$4:$B$22,'LED Lighting Estimator'!$F106)*1000,0)-IF($K106="No",$D106*SUMIFS('Control Benefit'!$E$12:$E$29,'Control Benefit'!$A$12:$A$29,'LED Lighting Estimator'!$D$5,'Control Benefit'!$B$12:$B$29,'LED Lighting Estimator'!$F106),0)</f>
        <v>0</v>
      </c>
      <c r="U106" s="59">
        <f t="shared" si="17"/>
        <v>0</v>
      </c>
      <c r="V106" s="59">
        <f>IFERROR(D106*P106*(SUMIFS('Other Costs'!$F$2:$F$19,'Other Costs'!$A$2:$A$19,'LED Lighting Estimator'!G106,'Other Costs'!$C$2:$C$19,'LED Lighting Estimator'!H106)+$D$9),0)</f>
        <v>0</v>
      </c>
      <c r="W106" s="60">
        <f>IFERROR(D106*Q106*(M106*SUMIFS('LED Costs'!$C$4:$C$22,'LED Costs'!$A$4:$A$22,$D$5,'LED Costs'!$B$4:$B$22,'LED Lighting Estimator'!$F106)/1000+'LED Lighting Estimator'!$D$9),0)</f>
        <v>0</v>
      </c>
      <c r="X106" s="61">
        <f t="shared" si="18"/>
        <v>0</v>
      </c>
      <c r="Y106" s="61">
        <f>IFERROR(($N106-$O106)*'Emission factors'!$D$4,0)</f>
        <v>0</v>
      </c>
      <c r="AA106" s="84"/>
      <c r="AB106" s="84"/>
      <c r="AC106" s="68" t="str">
        <f>IFERROR(D106*INDEX('BEES Data'!$B$6:$AL$9,MATCH('LED Lighting Estimator'!AB106,'BEES Data'!$A$6:$A$9,0),MATCH('LED Lighting Estimator'!AA106,'BEES Data'!$B$5:$AL$5,0)),"-")</f>
        <v>-</v>
      </c>
      <c r="AD106" s="68">
        <f>IFERROR(AC106*INDEX('BEES Data'!$B$14:$AL$14,1,MATCH('LED Lighting Estimator'!AA106,'BEES Data'!$B$5:$AL$5,0)),0)</f>
        <v>0</v>
      </c>
      <c r="AE106" s="69">
        <f t="shared" si="15"/>
        <v>0</v>
      </c>
      <c r="AF106" s="69">
        <f>IFERROR(AD106*INDEX('BEES Data'!$B$15:$AL$15,1,MATCH('LED Lighting Estimator'!AA106,'BEES Data'!$B$5:$AL$5)),0)</f>
        <v>0</v>
      </c>
      <c r="AG106" s="93">
        <f t="shared" si="19"/>
        <v>0</v>
      </c>
    </row>
    <row r="107" spans="2:33" x14ac:dyDescent="0.3">
      <c r="B107" s="84"/>
      <c r="C107" s="31"/>
      <c r="D107" s="85"/>
      <c r="E107" s="31"/>
      <c r="F107" s="31"/>
      <c r="G107" s="31"/>
      <c r="H107" s="31"/>
      <c r="I107" s="31"/>
      <c r="J107" s="31"/>
      <c r="K107" s="31"/>
      <c r="L107" s="86">
        <f>D107*SUMIFS('Lighting Power Density'!$E$3:$E$50,'Lighting Power Density'!$A$3:$A$50,'LED Lighting Estimator'!E107,'Lighting Power Density'!$B$3:$B$50,'LED Lighting Estimator'!G107,'Lighting Power Density'!$C$3:$C$50,'LED Lighting Estimator'!H107)/1000</f>
        <v>0</v>
      </c>
      <c r="M107" s="86">
        <f>D107*SUMIFS('Lighting Power Density'!$E$3:$E$50,'Lighting Power Density'!$A$3:$A$50,'LED Lighting Estimator'!E107,'Lighting Power Density'!$B$3:$B$50,"LED",'Lighting Power Density'!$C$3:$C$50,'LED Lighting Estimator'!H107)/1000</f>
        <v>0</v>
      </c>
      <c r="N107" s="58">
        <f t="shared" si="16"/>
        <v>0</v>
      </c>
      <c r="O107" s="58">
        <f>IFERROR(I107*365.25*M107*J107/7,0)*(1-IF(K107="Yes",SUMIFS('Control Benefit'!$C$12:$C$29,'Control Benefit'!$A$12:$A$29,'LED Lighting Estimator'!$D$5,'Control Benefit'!$B$12:$B$29,'LED Lighting Estimator'!$F107),0))</f>
        <v>0</v>
      </c>
      <c r="P107" s="86" t="str">
        <f>IFERROR((I107*365.25)/SUMIFS('Lighting Power Density'!$F$3:$F$50,'Lighting Power Density'!$A$3:$A$50,'LED Lighting Estimator'!$E107,'Lighting Power Density'!$B$3:$B$50,'LED Lighting Estimator'!$G107,'Lighting Power Density'!$C$3:$C$50,'LED Lighting Estimator'!$H107),"-")</f>
        <v>-</v>
      </c>
      <c r="Q107" s="86" t="str">
        <f>IFERROR((I107*365.25)/SUMIFS('Lighting Power Density'!$F$3:$F$50,'Lighting Power Density'!$A$3:$A$50,'LED Lighting Estimator'!$E107,'Lighting Power Density'!$B$3:$B$50,"LED",'Lighting Power Density'!$C$3:$C$50,'LED Lighting Estimator'!$H107),"-")</f>
        <v>-</v>
      </c>
      <c r="R107" s="59">
        <f t="shared" si="13"/>
        <v>0</v>
      </c>
      <c r="S107" s="59">
        <f t="shared" si="14"/>
        <v>0</v>
      </c>
      <c r="T107" s="59">
        <f>M107*IFERROR(SUMIFS('LED Costs'!$C$4:$C$22,'LED Costs'!$A$4:$A$22,'LED Lighting Estimator'!$D$5,'LED Costs'!$B$4:$B$22,'LED Lighting Estimator'!$F107)*1000,0)-IF($K107="No",$D107*SUMIFS('Control Benefit'!$E$12:$E$29,'Control Benefit'!$A$12:$A$29,'LED Lighting Estimator'!$D$5,'Control Benefit'!$B$12:$B$29,'LED Lighting Estimator'!$F107),0)</f>
        <v>0</v>
      </c>
      <c r="U107" s="59">
        <f t="shared" si="17"/>
        <v>0</v>
      </c>
      <c r="V107" s="59">
        <f>IFERROR(D107*P107*(SUMIFS('Other Costs'!$F$2:$F$19,'Other Costs'!$A$2:$A$19,'LED Lighting Estimator'!G107,'Other Costs'!$C$2:$C$19,'LED Lighting Estimator'!H107)+$D$9),0)</f>
        <v>0</v>
      </c>
      <c r="W107" s="60">
        <f>IFERROR(D107*Q107*(M107*SUMIFS('LED Costs'!$C$4:$C$22,'LED Costs'!$A$4:$A$22,$D$5,'LED Costs'!$B$4:$B$22,'LED Lighting Estimator'!$F107)/1000+'LED Lighting Estimator'!$D$9),0)</f>
        <v>0</v>
      </c>
      <c r="X107" s="61">
        <f t="shared" si="18"/>
        <v>0</v>
      </c>
      <c r="Y107" s="61">
        <f>IFERROR(($N107-$O107)*'Emission factors'!$D$4,0)</f>
        <v>0</v>
      </c>
      <c r="AA107" s="84"/>
      <c r="AB107" s="84"/>
      <c r="AC107" s="68" t="str">
        <f>IFERROR(D107*INDEX('BEES Data'!$B$6:$AL$9,MATCH('LED Lighting Estimator'!AB107,'BEES Data'!$A$6:$A$9,0),MATCH('LED Lighting Estimator'!AA107,'BEES Data'!$B$5:$AL$5,0)),"-")</f>
        <v>-</v>
      </c>
      <c r="AD107" s="68">
        <f>IFERROR(AC107*INDEX('BEES Data'!$B$14:$AL$14,1,MATCH('LED Lighting Estimator'!AA107,'BEES Data'!$B$5:$AL$5,0)),0)</f>
        <v>0</v>
      </c>
      <c r="AE107" s="69">
        <f t="shared" si="15"/>
        <v>0</v>
      </c>
      <c r="AF107" s="69">
        <f>IFERROR(AD107*INDEX('BEES Data'!$B$15:$AL$15,1,MATCH('LED Lighting Estimator'!AA107,'BEES Data'!$B$5:$AL$5)),0)</f>
        <v>0</v>
      </c>
      <c r="AG107" s="93">
        <f t="shared" si="19"/>
        <v>0</v>
      </c>
    </row>
    <row r="108" spans="2:33" x14ac:dyDescent="0.3">
      <c r="B108" s="84"/>
      <c r="C108" s="31"/>
      <c r="D108" s="85"/>
      <c r="E108" s="31"/>
      <c r="F108" s="31"/>
      <c r="G108" s="31"/>
      <c r="H108" s="31"/>
      <c r="I108" s="31"/>
      <c r="J108" s="31"/>
      <c r="K108" s="31"/>
      <c r="L108" s="86">
        <f>D108*SUMIFS('Lighting Power Density'!$E$3:$E$50,'Lighting Power Density'!$A$3:$A$50,'LED Lighting Estimator'!E108,'Lighting Power Density'!$B$3:$B$50,'LED Lighting Estimator'!G108,'Lighting Power Density'!$C$3:$C$50,'LED Lighting Estimator'!H108)/1000</f>
        <v>0</v>
      </c>
      <c r="M108" s="86">
        <f>D108*SUMIFS('Lighting Power Density'!$E$3:$E$50,'Lighting Power Density'!$A$3:$A$50,'LED Lighting Estimator'!E108,'Lighting Power Density'!$B$3:$B$50,"LED",'Lighting Power Density'!$C$3:$C$50,'LED Lighting Estimator'!H108)/1000</f>
        <v>0</v>
      </c>
      <c r="N108" s="58">
        <f t="shared" si="16"/>
        <v>0</v>
      </c>
      <c r="O108" s="58">
        <f>IFERROR(I108*365.25*M108*J108/7,0)*(1-IF(K108="Yes",SUMIFS('Control Benefit'!$C$12:$C$29,'Control Benefit'!$A$12:$A$29,'LED Lighting Estimator'!$D$5,'Control Benefit'!$B$12:$B$29,'LED Lighting Estimator'!$F108),0))</f>
        <v>0</v>
      </c>
      <c r="P108" s="86" t="str">
        <f>IFERROR((I108*365.25)/SUMIFS('Lighting Power Density'!$F$3:$F$50,'Lighting Power Density'!$A$3:$A$50,'LED Lighting Estimator'!$E108,'Lighting Power Density'!$B$3:$B$50,'LED Lighting Estimator'!$G108,'Lighting Power Density'!$C$3:$C$50,'LED Lighting Estimator'!$H108),"-")</f>
        <v>-</v>
      </c>
      <c r="Q108" s="86" t="str">
        <f>IFERROR((I108*365.25)/SUMIFS('Lighting Power Density'!$F$3:$F$50,'Lighting Power Density'!$A$3:$A$50,'LED Lighting Estimator'!$E108,'Lighting Power Density'!$B$3:$B$50,"LED",'Lighting Power Density'!$C$3:$C$50,'LED Lighting Estimator'!$H108),"-")</f>
        <v>-</v>
      </c>
      <c r="R108" s="59">
        <f t="shared" si="13"/>
        <v>0</v>
      </c>
      <c r="S108" s="59">
        <f t="shared" si="14"/>
        <v>0</v>
      </c>
      <c r="T108" s="59">
        <f>M108*IFERROR(SUMIFS('LED Costs'!$C$4:$C$22,'LED Costs'!$A$4:$A$22,'LED Lighting Estimator'!$D$5,'LED Costs'!$B$4:$B$22,'LED Lighting Estimator'!$F108)*1000,0)-IF($K108="No",$D108*SUMIFS('Control Benefit'!$E$12:$E$29,'Control Benefit'!$A$12:$A$29,'LED Lighting Estimator'!$D$5,'Control Benefit'!$B$12:$B$29,'LED Lighting Estimator'!$F108),0)</f>
        <v>0</v>
      </c>
      <c r="U108" s="59">
        <f t="shared" si="17"/>
        <v>0</v>
      </c>
      <c r="V108" s="59">
        <f>IFERROR(D108*P108*(SUMIFS('Other Costs'!$F$2:$F$19,'Other Costs'!$A$2:$A$19,'LED Lighting Estimator'!G108,'Other Costs'!$C$2:$C$19,'LED Lighting Estimator'!H108)+$D$9),0)</f>
        <v>0</v>
      </c>
      <c r="W108" s="60">
        <f>IFERROR(D108*Q108*(M108*SUMIFS('LED Costs'!$C$4:$C$22,'LED Costs'!$A$4:$A$22,$D$5,'LED Costs'!$B$4:$B$22,'LED Lighting Estimator'!$F108)/1000+'LED Lighting Estimator'!$D$9),0)</f>
        <v>0</v>
      </c>
      <c r="X108" s="61">
        <f t="shared" si="18"/>
        <v>0</v>
      </c>
      <c r="Y108" s="61">
        <f>IFERROR(($N108-$O108)*'Emission factors'!$D$4,0)</f>
        <v>0</v>
      </c>
      <c r="AA108" s="84"/>
      <c r="AB108" s="84"/>
      <c r="AC108" s="68" t="str">
        <f>IFERROR(D108*INDEX('BEES Data'!$B$6:$AL$9,MATCH('LED Lighting Estimator'!AB108,'BEES Data'!$A$6:$A$9,0),MATCH('LED Lighting Estimator'!AA108,'BEES Data'!$B$5:$AL$5,0)),"-")</f>
        <v>-</v>
      </c>
      <c r="AD108" s="68">
        <f>IFERROR(AC108*INDEX('BEES Data'!$B$14:$AL$14,1,MATCH('LED Lighting Estimator'!AA108,'BEES Data'!$B$5:$AL$5,0)),0)</f>
        <v>0</v>
      </c>
      <c r="AE108" s="69">
        <f t="shared" si="15"/>
        <v>0</v>
      </c>
      <c r="AF108" s="69">
        <f>IFERROR(AD108*INDEX('BEES Data'!$B$15:$AL$15,1,MATCH('LED Lighting Estimator'!AA108,'BEES Data'!$B$5:$AL$5)),0)</f>
        <v>0</v>
      </c>
      <c r="AG108" s="93">
        <f t="shared" si="19"/>
        <v>0</v>
      </c>
    </row>
    <row r="109" spans="2:33" x14ac:dyDescent="0.3">
      <c r="B109" s="84"/>
      <c r="C109" s="31"/>
      <c r="D109" s="85"/>
      <c r="E109" s="31"/>
      <c r="F109" s="31"/>
      <c r="G109" s="31"/>
      <c r="H109" s="31"/>
      <c r="I109" s="31"/>
      <c r="J109" s="31"/>
      <c r="K109" s="31"/>
      <c r="L109" s="86">
        <f>D109*SUMIFS('Lighting Power Density'!$E$3:$E$50,'Lighting Power Density'!$A$3:$A$50,'LED Lighting Estimator'!E109,'Lighting Power Density'!$B$3:$B$50,'LED Lighting Estimator'!G109,'Lighting Power Density'!$C$3:$C$50,'LED Lighting Estimator'!H109)/1000</f>
        <v>0</v>
      </c>
      <c r="M109" s="86">
        <f>D109*SUMIFS('Lighting Power Density'!$E$3:$E$50,'Lighting Power Density'!$A$3:$A$50,'LED Lighting Estimator'!E109,'Lighting Power Density'!$B$3:$B$50,"LED",'Lighting Power Density'!$C$3:$C$50,'LED Lighting Estimator'!H109)/1000</f>
        <v>0</v>
      </c>
      <c r="N109" s="58">
        <f t="shared" si="16"/>
        <v>0</v>
      </c>
      <c r="O109" s="58">
        <f>IFERROR(I109*365.25*M109*J109/7,0)*(1-IF(K109="Yes",SUMIFS('Control Benefit'!$C$12:$C$29,'Control Benefit'!$A$12:$A$29,'LED Lighting Estimator'!$D$5,'Control Benefit'!$B$12:$B$29,'LED Lighting Estimator'!$F109),0))</f>
        <v>0</v>
      </c>
      <c r="P109" s="86" t="str">
        <f>IFERROR((I109*365.25)/SUMIFS('Lighting Power Density'!$F$3:$F$50,'Lighting Power Density'!$A$3:$A$50,'LED Lighting Estimator'!$E109,'Lighting Power Density'!$B$3:$B$50,'LED Lighting Estimator'!$G109,'Lighting Power Density'!$C$3:$C$50,'LED Lighting Estimator'!$H109),"-")</f>
        <v>-</v>
      </c>
      <c r="Q109" s="86" t="str">
        <f>IFERROR((I109*365.25)/SUMIFS('Lighting Power Density'!$F$3:$F$50,'Lighting Power Density'!$A$3:$A$50,'LED Lighting Estimator'!$E109,'Lighting Power Density'!$B$3:$B$50,"LED",'Lighting Power Density'!$C$3:$C$50,'LED Lighting Estimator'!$H109),"-")</f>
        <v>-</v>
      </c>
      <c r="R109" s="59">
        <f t="shared" si="13"/>
        <v>0</v>
      </c>
      <c r="S109" s="59">
        <f t="shared" si="14"/>
        <v>0</v>
      </c>
      <c r="T109" s="59">
        <f>M109*IFERROR(SUMIFS('LED Costs'!$C$4:$C$22,'LED Costs'!$A$4:$A$22,'LED Lighting Estimator'!$D$5,'LED Costs'!$B$4:$B$22,'LED Lighting Estimator'!$F109)*1000,0)-IF($K109="No",$D109*SUMIFS('Control Benefit'!$E$12:$E$29,'Control Benefit'!$A$12:$A$29,'LED Lighting Estimator'!$D$5,'Control Benefit'!$B$12:$B$29,'LED Lighting Estimator'!$F109),0)</f>
        <v>0</v>
      </c>
      <c r="U109" s="59">
        <f t="shared" si="17"/>
        <v>0</v>
      </c>
      <c r="V109" s="59">
        <f>IFERROR(D109*P109*(SUMIFS('Other Costs'!$F$2:$F$19,'Other Costs'!$A$2:$A$19,'LED Lighting Estimator'!G109,'Other Costs'!$C$2:$C$19,'LED Lighting Estimator'!H109)+$D$9),0)</f>
        <v>0</v>
      </c>
      <c r="W109" s="60">
        <f>IFERROR(D109*Q109*(M109*SUMIFS('LED Costs'!$C$4:$C$22,'LED Costs'!$A$4:$A$22,$D$5,'LED Costs'!$B$4:$B$22,'LED Lighting Estimator'!$F109)/1000+'LED Lighting Estimator'!$D$9),0)</f>
        <v>0</v>
      </c>
      <c r="X109" s="61">
        <f t="shared" si="18"/>
        <v>0</v>
      </c>
      <c r="Y109" s="61">
        <f>IFERROR(($N109-$O109)*'Emission factors'!$D$4,0)</f>
        <v>0</v>
      </c>
      <c r="AA109" s="84"/>
      <c r="AB109" s="84"/>
      <c r="AC109" s="68" t="str">
        <f>IFERROR(D109*INDEX('BEES Data'!$B$6:$AL$9,MATCH('LED Lighting Estimator'!AB109,'BEES Data'!$A$6:$A$9,0),MATCH('LED Lighting Estimator'!AA109,'BEES Data'!$B$5:$AL$5,0)),"-")</f>
        <v>-</v>
      </c>
      <c r="AD109" s="68">
        <f>IFERROR(AC109*INDEX('BEES Data'!$B$14:$AL$14,1,MATCH('LED Lighting Estimator'!AA109,'BEES Data'!$B$5:$AL$5,0)),0)</f>
        <v>0</v>
      </c>
      <c r="AE109" s="69">
        <f t="shared" si="15"/>
        <v>0</v>
      </c>
      <c r="AF109" s="69">
        <f>IFERROR(AD109*INDEX('BEES Data'!$B$15:$AL$15,1,MATCH('LED Lighting Estimator'!AA109,'BEES Data'!$B$5:$AL$5)),0)</f>
        <v>0</v>
      </c>
      <c r="AG109" s="93">
        <f t="shared" si="19"/>
        <v>0</v>
      </c>
    </row>
    <row r="110" spans="2:33" x14ac:dyDescent="0.3">
      <c r="B110" s="84"/>
      <c r="C110" s="31"/>
      <c r="D110" s="85"/>
      <c r="E110" s="31"/>
      <c r="F110" s="31"/>
      <c r="G110" s="31"/>
      <c r="H110" s="31"/>
      <c r="I110" s="31"/>
      <c r="J110" s="31"/>
      <c r="K110" s="31"/>
      <c r="L110" s="86">
        <f>D110*SUMIFS('Lighting Power Density'!$E$3:$E$50,'Lighting Power Density'!$A$3:$A$50,'LED Lighting Estimator'!E110,'Lighting Power Density'!$B$3:$B$50,'LED Lighting Estimator'!G110,'Lighting Power Density'!$C$3:$C$50,'LED Lighting Estimator'!H110)/1000</f>
        <v>0</v>
      </c>
      <c r="M110" s="86">
        <f>D110*SUMIFS('Lighting Power Density'!$E$3:$E$50,'Lighting Power Density'!$A$3:$A$50,'LED Lighting Estimator'!E110,'Lighting Power Density'!$B$3:$B$50,"LED",'Lighting Power Density'!$C$3:$C$50,'LED Lighting Estimator'!H110)/1000</f>
        <v>0</v>
      </c>
      <c r="N110" s="58">
        <f t="shared" si="16"/>
        <v>0</v>
      </c>
      <c r="O110" s="58">
        <f>IFERROR(I110*365.25*M110*J110/7,0)*(1-IF(K110="Yes",SUMIFS('Control Benefit'!$C$12:$C$29,'Control Benefit'!$A$12:$A$29,'LED Lighting Estimator'!$D$5,'Control Benefit'!$B$12:$B$29,'LED Lighting Estimator'!$F110),0))</f>
        <v>0</v>
      </c>
      <c r="P110" s="86" t="str">
        <f>IFERROR((I110*365.25)/SUMIFS('Lighting Power Density'!$F$3:$F$50,'Lighting Power Density'!$A$3:$A$50,'LED Lighting Estimator'!$E110,'Lighting Power Density'!$B$3:$B$50,'LED Lighting Estimator'!$G110,'Lighting Power Density'!$C$3:$C$50,'LED Lighting Estimator'!$H110),"-")</f>
        <v>-</v>
      </c>
      <c r="Q110" s="86" t="str">
        <f>IFERROR((I110*365.25)/SUMIFS('Lighting Power Density'!$F$3:$F$50,'Lighting Power Density'!$A$3:$A$50,'LED Lighting Estimator'!$E110,'Lighting Power Density'!$B$3:$B$50,"LED",'Lighting Power Density'!$C$3:$C$50,'LED Lighting Estimator'!$H110),"-")</f>
        <v>-</v>
      </c>
      <c r="R110" s="59">
        <f t="shared" si="13"/>
        <v>0</v>
      </c>
      <c r="S110" s="59">
        <f t="shared" si="14"/>
        <v>0</v>
      </c>
      <c r="T110" s="59">
        <f>M110*IFERROR(SUMIFS('LED Costs'!$C$4:$C$22,'LED Costs'!$A$4:$A$22,'LED Lighting Estimator'!$D$5,'LED Costs'!$B$4:$B$22,'LED Lighting Estimator'!$F110)*1000,0)-IF($K110="No",$D110*SUMIFS('Control Benefit'!$E$12:$E$29,'Control Benefit'!$A$12:$A$29,'LED Lighting Estimator'!$D$5,'Control Benefit'!$B$12:$B$29,'LED Lighting Estimator'!$F110),0)</f>
        <v>0</v>
      </c>
      <c r="U110" s="59">
        <f t="shared" si="17"/>
        <v>0</v>
      </c>
      <c r="V110" s="59">
        <f>IFERROR(D110*P110*(SUMIFS('Other Costs'!$F$2:$F$19,'Other Costs'!$A$2:$A$19,'LED Lighting Estimator'!G110,'Other Costs'!$C$2:$C$19,'LED Lighting Estimator'!H110)+$D$9),0)</f>
        <v>0</v>
      </c>
      <c r="W110" s="60">
        <f>IFERROR(D110*Q110*(M110*SUMIFS('LED Costs'!$C$4:$C$22,'LED Costs'!$A$4:$A$22,$D$5,'LED Costs'!$B$4:$B$22,'LED Lighting Estimator'!$F110)/1000+'LED Lighting Estimator'!$D$9),0)</f>
        <v>0</v>
      </c>
      <c r="X110" s="61">
        <f t="shared" si="18"/>
        <v>0</v>
      </c>
      <c r="Y110" s="61">
        <f>IFERROR(($N110-$O110)*'Emission factors'!$D$4,0)</f>
        <v>0</v>
      </c>
      <c r="AA110" s="84"/>
      <c r="AB110" s="84"/>
      <c r="AC110" s="68" t="str">
        <f>IFERROR(D110*INDEX('BEES Data'!$B$6:$AL$9,MATCH('LED Lighting Estimator'!AB110,'BEES Data'!$A$6:$A$9,0),MATCH('LED Lighting Estimator'!AA110,'BEES Data'!$B$5:$AL$5,0)),"-")</f>
        <v>-</v>
      </c>
      <c r="AD110" s="68">
        <f>IFERROR(AC110*INDEX('BEES Data'!$B$14:$AL$14,1,MATCH('LED Lighting Estimator'!AA110,'BEES Data'!$B$5:$AL$5,0)),0)</f>
        <v>0</v>
      </c>
      <c r="AE110" s="69">
        <f t="shared" si="15"/>
        <v>0</v>
      </c>
      <c r="AF110" s="69">
        <f>IFERROR(AD110*INDEX('BEES Data'!$B$15:$AL$15,1,MATCH('LED Lighting Estimator'!AA110,'BEES Data'!$B$5:$AL$5)),0)</f>
        <v>0</v>
      </c>
      <c r="AG110" s="93">
        <f t="shared" si="19"/>
        <v>0</v>
      </c>
    </row>
    <row r="111" spans="2:33" x14ac:dyDescent="0.3">
      <c r="B111" s="84"/>
      <c r="C111" s="31"/>
      <c r="D111" s="85"/>
      <c r="E111" s="31"/>
      <c r="F111" s="31"/>
      <c r="G111" s="31"/>
      <c r="H111" s="31"/>
      <c r="I111" s="31"/>
      <c r="J111" s="31"/>
      <c r="K111" s="31"/>
      <c r="L111" s="86">
        <f>D111*SUMIFS('Lighting Power Density'!$E$3:$E$50,'Lighting Power Density'!$A$3:$A$50,'LED Lighting Estimator'!E111,'Lighting Power Density'!$B$3:$B$50,'LED Lighting Estimator'!G111,'Lighting Power Density'!$C$3:$C$50,'LED Lighting Estimator'!H111)/1000</f>
        <v>0</v>
      </c>
      <c r="M111" s="86">
        <f>D111*SUMIFS('Lighting Power Density'!$E$3:$E$50,'Lighting Power Density'!$A$3:$A$50,'LED Lighting Estimator'!E111,'Lighting Power Density'!$B$3:$B$50,"LED",'Lighting Power Density'!$C$3:$C$50,'LED Lighting Estimator'!H111)/1000</f>
        <v>0</v>
      </c>
      <c r="N111" s="58">
        <f t="shared" si="16"/>
        <v>0</v>
      </c>
      <c r="O111" s="58">
        <f>IFERROR(I111*365.25*M111*J111/7,0)*(1-IF(K111="Yes",SUMIFS('Control Benefit'!$C$12:$C$29,'Control Benefit'!$A$12:$A$29,'LED Lighting Estimator'!$D$5,'Control Benefit'!$B$12:$B$29,'LED Lighting Estimator'!$F111),0))</f>
        <v>0</v>
      </c>
      <c r="P111" s="86" t="str">
        <f>IFERROR((I111*365.25)/SUMIFS('Lighting Power Density'!$F$3:$F$50,'Lighting Power Density'!$A$3:$A$50,'LED Lighting Estimator'!$E111,'Lighting Power Density'!$B$3:$B$50,'LED Lighting Estimator'!$G111,'Lighting Power Density'!$C$3:$C$50,'LED Lighting Estimator'!$H111),"-")</f>
        <v>-</v>
      </c>
      <c r="Q111" s="86" t="str">
        <f>IFERROR((I111*365.25)/SUMIFS('Lighting Power Density'!$F$3:$F$50,'Lighting Power Density'!$A$3:$A$50,'LED Lighting Estimator'!$E111,'Lighting Power Density'!$B$3:$B$50,"LED",'Lighting Power Density'!$C$3:$C$50,'LED Lighting Estimator'!$H111),"-")</f>
        <v>-</v>
      </c>
      <c r="R111" s="59">
        <f t="shared" si="13"/>
        <v>0</v>
      </c>
      <c r="S111" s="59">
        <f t="shared" si="14"/>
        <v>0</v>
      </c>
      <c r="T111" s="59">
        <f>M111*IFERROR(SUMIFS('LED Costs'!$C$4:$C$22,'LED Costs'!$A$4:$A$22,'LED Lighting Estimator'!$D$5,'LED Costs'!$B$4:$B$22,'LED Lighting Estimator'!$F111)*1000,0)-IF($K111="No",$D111*SUMIFS('Control Benefit'!$E$12:$E$29,'Control Benefit'!$A$12:$A$29,'LED Lighting Estimator'!$D$5,'Control Benefit'!$B$12:$B$29,'LED Lighting Estimator'!$F111),0)</f>
        <v>0</v>
      </c>
      <c r="U111" s="59">
        <f t="shared" si="17"/>
        <v>0</v>
      </c>
      <c r="V111" s="59">
        <f>IFERROR(D111*P111*(SUMIFS('Other Costs'!$F$2:$F$19,'Other Costs'!$A$2:$A$19,'LED Lighting Estimator'!G111,'Other Costs'!$C$2:$C$19,'LED Lighting Estimator'!H111)+$D$9),0)</f>
        <v>0</v>
      </c>
      <c r="W111" s="60">
        <f>IFERROR(D111*Q111*(M111*SUMIFS('LED Costs'!$C$4:$C$22,'LED Costs'!$A$4:$A$22,$D$5,'LED Costs'!$B$4:$B$22,'LED Lighting Estimator'!$F111)/1000+'LED Lighting Estimator'!$D$9),0)</f>
        <v>0</v>
      </c>
      <c r="X111" s="61">
        <f t="shared" si="18"/>
        <v>0</v>
      </c>
      <c r="Y111" s="61">
        <f>IFERROR(($N111-$O111)*'Emission factors'!$D$4,0)</f>
        <v>0</v>
      </c>
      <c r="AA111" s="84"/>
      <c r="AB111" s="84"/>
      <c r="AC111" s="68" t="str">
        <f>IFERROR(D111*INDEX('BEES Data'!$B$6:$AL$9,MATCH('LED Lighting Estimator'!AB111,'BEES Data'!$A$6:$A$9,0),MATCH('LED Lighting Estimator'!AA111,'BEES Data'!$B$5:$AL$5,0)),"-")</f>
        <v>-</v>
      </c>
      <c r="AD111" s="68">
        <f>IFERROR(AC111*INDEX('BEES Data'!$B$14:$AL$14,1,MATCH('LED Lighting Estimator'!AA111,'BEES Data'!$B$5:$AL$5,0)),0)</f>
        <v>0</v>
      </c>
      <c r="AE111" s="69">
        <f t="shared" si="15"/>
        <v>0</v>
      </c>
      <c r="AF111" s="69">
        <f>IFERROR(AD111*INDEX('BEES Data'!$B$15:$AL$15,1,MATCH('LED Lighting Estimator'!AA111,'BEES Data'!$B$5:$AL$5)),0)</f>
        <v>0</v>
      </c>
      <c r="AG111" s="93">
        <f t="shared" si="19"/>
        <v>0</v>
      </c>
    </row>
    <row r="112" spans="2:33" x14ac:dyDescent="0.3">
      <c r="B112" s="84"/>
      <c r="C112" s="31"/>
      <c r="D112" s="85"/>
      <c r="E112" s="31"/>
      <c r="F112" s="31"/>
      <c r="G112" s="31"/>
      <c r="H112" s="31"/>
      <c r="I112" s="31"/>
      <c r="J112" s="31"/>
      <c r="K112" s="31"/>
      <c r="L112" s="86">
        <f>D112*SUMIFS('Lighting Power Density'!$E$3:$E$50,'Lighting Power Density'!$A$3:$A$50,'LED Lighting Estimator'!E112,'Lighting Power Density'!$B$3:$B$50,'LED Lighting Estimator'!G112,'Lighting Power Density'!$C$3:$C$50,'LED Lighting Estimator'!H112)/1000</f>
        <v>0</v>
      </c>
      <c r="M112" s="86">
        <f>D112*SUMIFS('Lighting Power Density'!$E$3:$E$50,'Lighting Power Density'!$A$3:$A$50,'LED Lighting Estimator'!E112,'Lighting Power Density'!$B$3:$B$50,"LED",'Lighting Power Density'!$C$3:$C$50,'LED Lighting Estimator'!H112)/1000</f>
        <v>0</v>
      </c>
      <c r="N112" s="58">
        <f t="shared" si="16"/>
        <v>0</v>
      </c>
      <c r="O112" s="58">
        <f>IFERROR(I112*365.25*M112*J112/7,0)*(1-IF(K112="Yes",SUMIFS('Control Benefit'!$C$12:$C$29,'Control Benefit'!$A$12:$A$29,'LED Lighting Estimator'!$D$5,'Control Benefit'!$B$12:$B$29,'LED Lighting Estimator'!$F112),0))</f>
        <v>0</v>
      </c>
      <c r="P112" s="86" t="str">
        <f>IFERROR((I112*365.25)/SUMIFS('Lighting Power Density'!$F$3:$F$50,'Lighting Power Density'!$A$3:$A$50,'LED Lighting Estimator'!$E112,'Lighting Power Density'!$B$3:$B$50,'LED Lighting Estimator'!$G112,'Lighting Power Density'!$C$3:$C$50,'LED Lighting Estimator'!$H112),"-")</f>
        <v>-</v>
      </c>
      <c r="Q112" s="86" t="str">
        <f>IFERROR((I112*365.25)/SUMIFS('Lighting Power Density'!$F$3:$F$50,'Lighting Power Density'!$A$3:$A$50,'LED Lighting Estimator'!$E112,'Lighting Power Density'!$B$3:$B$50,"LED",'Lighting Power Density'!$C$3:$C$50,'LED Lighting Estimator'!$H112),"-")</f>
        <v>-</v>
      </c>
      <c r="R112" s="59">
        <f t="shared" si="13"/>
        <v>0</v>
      </c>
      <c r="S112" s="59">
        <f t="shared" si="14"/>
        <v>0</v>
      </c>
      <c r="T112" s="59">
        <f>M112*IFERROR(SUMIFS('LED Costs'!$C$4:$C$22,'LED Costs'!$A$4:$A$22,'LED Lighting Estimator'!$D$5,'LED Costs'!$B$4:$B$22,'LED Lighting Estimator'!$F112)*1000,0)-IF($K112="No",$D112*SUMIFS('Control Benefit'!$E$12:$E$29,'Control Benefit'!$A$12:$A$29,'LED Lighting Estimator'!$D$5,'Control Benefit'!$B$12:$B$29,'LED Lighting Estimator'!$F112),0)</f>
        <v>0</v>
      </c>
      <c r="U112" s="59">
        <f t="shared" si="17"/>
        <v>0</v>
      </c>
      <c r="V112" s="59">
        <f>IFERROR(D112*P112*(SUMIFS('Other Costs'!$F$2:$F$19,'Other Costs'!$A$2:$A$19,'LED Lighting Estimator'!G112,'Other Costs'!$C$2:$C$19,'LED Lighting Estimator'!H112)+$D$9),0)</f>
        <v>0</v>
      </c>
      <c r="W112" s="60">
        <f>IFERROR(D112*Q112*(M112*SUMIFS('LED Costs'!$C$4:$C$22,'LED Costs'!$A$4:$A$22,$D$5,'LED Costs'!$B$4:$B$22,'LED Lighting Estimator'!$F112)/1000+'LED Lighting Estimator'!$D$9),0)</f>
        <v>0</v>
      </c>
      <c r="X112" s="61">
        <f t="shared" si="18"/>
        <v>0</v>
      </c>
      <c r="Y112" s="61">
        <f>IFERROR(($N112-$O112)*'Emission factors'!$D$4,0)</f>
        <v>0</v>
      </c>
      <c r="AA112" s="84"/>
      <c r="AB112" s="84"/>
      <c r="AC112" s="68" t="str">
        <f>IFERROR(D112*INDEX('BEES Data'!$B$6:$AL$9,MATCH('LED Lighting Estimator'!AB112,'BEES Data'!$A$6:$A$9,0),MATCH('LED Lighting Estimator'!AA112,'BEES Data'!$B$5:$AL$5,0)),"-")</f>
        <v>-</v>
      </c>
      <c r="AD112" s="68">
        <f>IFERROR(AC112*INDEX('BEES Data'!$B$14:$AL$14,1,MATCH('LED Lighting Estimator'!AA112,'BEES Data'!$B$5:$AL$5,0)),0)</f>
        <v>0</v>
      </c>
      <c r="AE112" s="69">
        <f t="shared" si="15"/>
        <v>0</v>
      </c>
      <c r="AF112" s="69">
        <f>IFERROR(AD112*INDEX('BEES Data'!$B$15:$AL$15,1,MATCH('LED Lighting Estimator'!AA112,'BEES Data'!$B$5:$AL$5)),0)</f>
        <v>0</v>
      </c>
      <c r="AG112" s="93">
        <f t="shared" si="19"/>
        <v>0</v>
      </c>
    </row>
    <row r="113" spans="2:33" x14ac:dyDescent="0.3">
      <c r="B113" s="84"/>
      <c r="C113" s="31"/>
      <c r="D113" s="85"/>
      <c r="E113" s="31"/>
      <c r="F113" s="31"/>
      <c r="G113" s="31"/>
      <c r="H113" s="31"/>
      <c r="I113" s="31"/>
      <c r="J113" s="31"/>
      <c r="K113" s="31"/>
      <c r="L113" s="86">
        <f>D113*SUMIFS('Lighting Power Density'!$E$3:$E$50,'Lighting Power Density'!$A$3:$A$50,'LED Lighting Estimator'!E113,'Lighting Power Density'!$B$3:$B$50,'LED Lighting Estimator'!G113,'Lighting Power Density'!$C$3:$C$50,'LED Lighting Estimator'!H113)/1000</f>
        <v>0</v>
      </c>
      <c r="M113" s="86">
        <f>D113*SUMIFS('Lighting Power Density'!$E$3:$E$50,'Lighting Power Density'!$A$3:$A$50,'LED Lighting Estimator'!E113,'Lighting Power Density'!$B$3:$B$50,"LED",'Lighting Power Density'!$C$3:$C$50,'LED Lighting Estimator'!H113)/1000</f>
        <v>0</v>
      </c>
      <c r="N113" s="58">
        <f t="shared" si="16"/>
        <v>0</v>
      </c>
      <c r="O113" s="58">
        <f>IFERROR(I113*365.25*M113*J113/7,0)*(1-IF(K113="Yes",SUMIFS('Control Benefit'!$C$12:$C$29,'Control Benefit'!$A$12:$A$29,'LED Lighting Estimator'!$D$5,'Control Benefit'!$B$12:$B$29,'LED Lighting Estimator'!$F113),0))</f>
        <v>0</v>
      </c>
      <c r="P113" s="86" t="str">
        <f>IFERROR((I113*365.25)/SUMIFS('Lighting Power Density'!$F$3:$F$50,'Lighting Power Density'!$A$3:$A$50,'LED Lighting Estimator'!$E113,'Lighting Power Density'!$B$3:$B$50,'LED Lighting Estimator'!$G113,'Lighting Power Density'!$C$3:$C$50,'LED Lighting Estimator'!$H113),"-")</f>
        <v>-</v>
      </c>
      <c r="Q113" s="86" t="str">
        <f>IFERROR((I113*365.25)/SUMIFS('Lighting Power Density'!$F$3:$F$50,'Lighting Power Density'!$A$3:$A$50,'LED Lighting Estimator'!$E113,'Lighting Power Density'!$B$3:$B$50,"LED",'Lighting Power Density'!$C$3:$C$50,'LED Lighting Estimator'!$H113),"-")</f>
        <v>-</v>
      </c>
      <c r="R113" s="59">
        <f t="shared" si="13"/>
        <v>0</v>
      </c>
      <c r="S113" s="59">
        <f t="shared" si="14"/>
        <v>0</v>
      </c>
      <c r="T113" s="59">
        <f>M113*IFERROR(SUMIFS('LED Costs'!$C$4:$C$22,'LED Costs'!$A$4:$A$22,'LED Lighting Estimator'!$D$5,'LED Costs'!$B$4:$B$22,'LED Lighting Estimator'!$F113)*1000,0)-IF($K113="No",$D113*SUMIFS('Control Benefit'!$E$12:$E$29,'Control Benefit'!$A$12:$A$29,'LED Lighting Estimator'!$D$5,'Control Benefit'!$B$12:$B$29,'LED Lighting Estimator'!$F113),0)</f>
        <v>0</v>
      </c>
      <c r="U113" s="59">
        <f t="shared" si="17"/>
        <v>0</v>
      </c>
      <c r="V113" s="59">
        <f>IFERROR(D113*P113*(SUMIFS('Other Costs'!$F$2:$F$19,'Other Costs'!$A$2:$A$19,'LED Lighting Estimator'!G113,'Other Costs'!$C$2:$C$19,'LED Lighting Estimator'!H113)+$D$9),0)</f>
        <v>0</v>
      </c>
      <c r="W113" s="60">
        <f>IFERROR(D113*Q113*(M113*SUMIFS('LED Costs'!$C$4:$C$22,'LED Costs'!$A$4:$A$22,$D$5,'LED Costs'!$B$4:$B$22,'LED Lighting Estimator'!$F113)/1000+'LED Lighting Estimator'!$D$9),0)</f>
        <v>0</v>
      </c>
      <c r="X113" s="61">
        <f t="shared" si="18"/>
        <v>0</v>
      </c>
      <c r="Y113" s="61">
        <f>IFERROR(($N113-$O113)*'Emission factors'!$D$4,0)</f>
        <v>0</v>
      </c>
      <c r="AA113" s="84"/>
      <c r="AB113" s="84"/>
      <c r="AC113" s="68" t="str">
        <f>IFERROR(D113*INDEX('BEES Data'!$B$6:$AL$9,MATCH('LED Lighting Estimator'!AB113,'BEES Data'!$A$6:$A$9,0),MATCH('LED Lighting Estimator'!AA113,'BEES Data'!$B$5:$AL$5,0)),"-")</f>
        <v>-</v>
      </c>
      <c r="AD113" s="68">
        <f>IFERROR(AC113*INDEX('BEES Data'!$B$14:$AL$14,1,MATCH('LED Lighting Estimator'!AA113,'BEES Data'!$B$5:$AL$5,0)),0)</f>
        <v>0</v>
      </c>
      <c r="AE113" s="69">
        <f t="shared" si="15"/>
        <v>0</v>
      </c>
      <c r="AF113" s="69">
        <f>IFERROR(AD113*INDEX('BEES Data'!$B$15:$AL$15,1,MATCH('LED Lighting Estimator'!AA113,'BEES Data'!$B$5:$AL$5)),0)</f>
        <v>0</v>
      </c>
      <c r="AG113" s="93">
        <f t="shared" si="19"/>
        <v>0</v>
      </c>
    </row>
    <row r="114" spans="2:33" x14ac:dyDescent="0.3">
      <c r="B114" s="77"/>
      <c r="C114" s="78"/>
      <c r="D114" s="79"/>
      <c r="E114" s="78"/>
      <c r="F114" s="78"/>
      <c r="G114" s="78"/>
      <c r="H114" s="78"/>
      <c r="I114" s="78"/>
      <c r="J114" s="78"/>
      <c r="K114" s="78"/>
      <c r="L114" s="80">
        <f>D114*SUMIFS('Lighting Power Density'!$E$3:$E$50,'Lighting Power Density'!$A$3:$A$50,'LED Lighting Estimator'!E114,'Lighting Power Density'!$B$3:$B$50,'LED Lighting Estimator'!G114,'Lighting Power Density'!$C$3:$C$50,'LED Lighting Estimator'!H114)/1000</f>
        <v>0</v>
      </c>
      <c r="M114" s="80">
        <f>D114*SUMIFS('Lighting Power Density'!$E$3:$E$50,'Lighting Power Density'!$A$3:$A$50,'LED Lighting Estimator'!E114,'Lighting Power Density'!$B$3:$B$50,"LED",'Lighting Power Density'!$C$3:$C$50,'LED Lighting Estimator'!H114)/1000</f>
        <v>0</v>
      </c>
      <c r="N114" s="81">
        <f t="shared" si="16"/>
        <v>0</v>
      </c>
      <c r="O114" s="58">
        <f>IFERROR(I114*365.25*M114*J114/7,0)*(1-IF(K114="Yes",SUMIFS('Control Benefit'!$C$12:$C$29,'Control Benefit'!$A$12:$A$29,'LED Lighting Estimator'!$D$5,'Control Benefit'!$B$12:$B$29,'LED Lighting Estimator'!$F114),0))</f>
        <v>0</v>
      </c>
      <c r="P114" s="80" t="str">
        <f>IFERROR((I114*365.25)/SUMIFS('Lighting Power Density'!$F$3:$F$50,'Lighting Power Density'!$A$3:$A$50,'LED Lighting Estimator'!$E114,'Lighting Power Density'!$B$3:$B$50,'LED Lighting Estimator'!$G114,'Lighting Power Density'!$C$3:$C$50,'LED Lighting Estimator'!$H114),"-")</f>
        <v>-</v>
      </c>
      <c r="Q114" s="80" t="str">
        <f>IFERROR((I114*365.25)/SUMIFS('Lighting Power Density'!$F$3:$F$50,'Lighting Power Density'!$A$3:$A$50,'LED Lighting Estimator'!$E114,'Lighting Power Density'!$B$3:$B$50,"LED",'Lighting Power Density'!$C$3:$C$50,'LED Lighting Estimator'!$H114),"-")</f>
        <v>-</v>
      </c>
      <c r="R114" s="82">
        <f t="shared" si="13"/>
        <v>0</v>
      </c>
      <c r="S114" s="82">
        <f t="shared" si="14"/>
        <v>0</v>
      </c>
      <c r="T114" s="82">
        <f>M114*IFERROR(SUMIFS('LED Costs'!$C$4:$C$22,'LED Costs'!$A$4:$A$22,'LED Lighting Estimator'!$D$5,'LED Costs'!$B$4:$B$22,'LED Lighting Estimator'!$F114)*1000,0)-IF($K114="No",$D114*SUMIFS('Control Benefit'!$E$12:$E$29,'Control Benefit'!$A$12:$A$29,'LED Lighting Estimator'!$D$5,'Control Benefit'!$B$12:$B$29,'LED Lighting Estimator'!$F114),0)</f>
        <v>0</v>
      </c>
      <c r="U114" s="82">
        <f t="shared" si="17"/>
        <v>0</v>
      </c>
      <c r="V114" s="59">
        <f>IFERROR(D114*P114*(SUMIFS('Other Costs'!$F$2:$F$19,'Other Costs'!$A$2:$A$19,'LED Lighting Estimator'!G114,'Other Costs'!$C$2:$C$19,'LED Lighting Estimator'!H114)+$D$9),0)</f>
        <v>0</v>
      </c>
      <c r="W114" s="60">
        <f>IFERROR(D114*Q114*(M114*SUMIFS('LED Costs'!$C$4:$C$22,'LED Costs'!$A$4:$A$22,$D$5,'LED Costs'!$B$4:$B$22,'LED Lighting Estimator'!$F114)/1000+'LED Lighting Estimator'!$D$9),0)</f>
        <v>0</v>
      </c>
      <c r="X114" s="83">
        <f t="shared" si="18"/>
        <v>0</v>
      </c>
      <c r="Y114" s="83">
        <f>IFERROR(($N114-$O114)*'Emission factors'!$D$4,0)</f>
        <v>0</v>
      </c>
      <c r="AA114" s="84"/>
      <c r="AB114" s="84"/>
      <c r="AC114" s="68" t="str">
        <f>IFERROR(D114*INDEX('BEES Data'!$B$6:$AL$9,MATCH('LED Lighting Estimator'!AB114,'BEES Data'!$A$6:$A$9,0),MATCH('LED Lighting Estimator'!AA114,'BEES Data'!$B$5:$AL$5,0)),"-")</f>
        <v>-</v>
      </c>
      <c r="AD114" s="68">
        <f>IFERROR(AC114*INDEX('BEES Data'!$B$14:$AL$14,1,MATCH('LED Lighting Estimator'!AA114,'BEES Data'!$B$5:$AL$5,0)),0)</f>
        <v>0</v>
      </c>
      <c r="AE114" s="69">
        <f t="shared" si="15"/>
        <v>0</v>
      </c>
      <c r="AF114" s="69">
        <f>IFERROR(AD114*INDEX('BEES Data'!$B$15:$AL$15,1,MATCH('LED Lighting Estimator'!AA114,'BEES Data'!$B$5:$AL$5)),0)</f>
        <v>0</v>
      </c>
      <c r="AG114" s="93">
        <f t="shared" si="19"/>
        <v>0</v>
      </c>
    </row>
    <row r="115" spans="2:33" x14ac:dyDescent="0.3">
      <c r="B115" s="32"/>
      <c r="C115" s="32"/>
      <c r="D115" s="32"/>
      <c r="E115" s="32"/>
      <c r="F115" s="32"/>
      <c r="G115" s="32"/>
      <c r="H115" s="32"/>
      <c r="I115" s="32"/>
      <c r="J115" s="32"/>
      <c r="K115" s="32"/>
      <c r="L115" s="62">
        <f>D115*SUMIFS('Lighting Power Density'!$E$3:$E$50,'Lighting Power Density'!$A$3:$A$50,'LED Lighting Estimator'!E115,'Lighting Power Density'!$B$3:$B$50,'LED Lighting Estimator'!G115,'Lighting Power Density'!$C$3:$C$50,'LED Lighting Estimator'!H115)/1000</f>
        <v>0</v>
      </c>
      <c r="M115" s="62">
        <f>D115*SUMIFS('Lighting Power Density'!$E$3:$E$50,'Lighting Power Density'!$A$3:$A$50,'LED Lighting Estimator'!E115,'Lighting Power Density'!$B$3:$B$50,"LED",'Lighting Power Density'!$C$3:$C$50,'LED Lighting Estimator'!H115)/1000</f>
        <v>0</v>
      </c>
      <c r="N115" s="62">
        <f t="shared" si="16"/>
        <v>0</v>
      </c>
      <c r="O115" s="58">
        <f>IFERROR(I115*365.25*M115*J115/7,0)*(1-IF(K115="Yes",SUMIFS('Control Benefit'!$C$12:$C$29,'Control Benefit'!$A$12:$A$29,'LED Lighting Estimator'!$D$5,'Control Benefit'!$B$12:$B$29,'LED Lighting Estimator'!$F115),0))</f>
        <v>0</v>
      </c>
      <c r="P115" s="88" t="str">
        <f>IFERROR((I115*365.25)/SUMIFS('Lighting Power Density'!$F$3:$F$50,'Lighting Power Density'!$A$3:$A$50,'LED Lighting Estimator'!$E115,'Lighting Power Density'!$B$3:$B$50,'LED Lighting Estimator'!$G115,'Lighting Power Density'!$C$3:$C$50,'LED Lighting Estimator'!$H115),"-")</f>
        <v>-</v>
      </c>
      <c r="Q115" s="88" t="str">
        <f>IFERROR((I115*365.25)/SUMIFS('Lighting Power Density'!$F$3:$F$50,'Lighting Power Density'!$A$3:$A$50,'LED Lighting Estimator'!$E115,'Lighting Power Density'!$B$3:$B$50,"LED",'Lighting Power Density'!$C$3:$C$50,'LED Lighting Estimator'!$H115),"-")</f>
        <v>-</v>
      </c>
      <c r="R115" s="63">
        <f t="shared" si="13"/>
        <v>0</v>
      </c>
      <c r="S115" s="63">
        <f t="shared" si="14"/>
        <v>0</v>
      </c>
      <c r="T115" s="63">
        <f>M115*IFERROR(SUMIFS('LED Costs'!$C$4:$C$22,'LED Costs'!$A$4:$A$22,'LED Lighting Estimator'!$D$5,'LED Costs'!$B$4:$B$22,'LED Lighting Estimator'!$F115)*1000,0)-IF($K115="No",$D115*SUMIFS('Control Benefit'!$E$12:$E$29,'Control Benefit'!$A$12:$A$29,'LED Lighting Estimator'!$D$5,'Control Benefit'!$B$12:$B$29,'LED Lighting Estimator'!$F115),0)</f>
        <v>0</v>
      </c>
      <c r="U115" s="63">
        <f t="shared" si="17"/>
        <v>0</v>
      </c>
      <c r="V115" s="63">
        <f>IFERROR(D115*P115*(SUMIFS('Other Costs'!$F$2:$F$19,'Other Costs'!$A$2:$A$19,'LED Lighting Estimator'!G115,'Other Costs'!$C$2:$C$19,'LED Lighting Estimator'!H115)+$D$9),0)</f>
        <v>0</v>
      </c>
      <c r="W115" s="64">
        <f>IFERROR(D115*Q115*(M115*SUMIFS('LED Costs'!$C$4:$C$22,'LED Costs'!$A$4:$A$22,$D$5,'LED Costs'!$B$4:$B$22,'LED Lighting Estimator'!$F115)/1000+'LED Lighting Estimator'!$D$9),0)</f>
        <v>0</v>
      </c>
      <c r="X115" s="65">
        <f t="shared" si="18"/>
        <v>0</v>
      </c>
      <c r="Y115" s="65">
        <f>IFERROR(($N115-$O115)*'Emission factors'!$D$4,0)</f>
        <v>0</v>
      </c>
      <c r="AA115" s="87"/>
      <c r="AB115" s="87"/>
      <c r="AC115" s="70" t="str">
        <f>IFERROR(D115*INDEX('BEES Data'!$B$6:$AL$9,MATCH('LED Lighting Estimator'!AB115,'BEES Data'!$A$6:$A$9,0),MATCH('LED Lighting Estimator'!AA115,'BEES Data'!$B$5:$AL$5,0)),"-")</f>
        <v>-</v>
      </c>
      <c r="AD115" s="70">
        <f>IFERROR(AC115*INDEX('BEES Data'!$B$14:$AL$14,1,MATCH('LED Lighting Estimator'!AA115,'BEES Data'!$B$5:$AL$5,0)),0)</f>
        <v>0</v>
      </c>
      <c r="AE115" s="71">
        <f t="shared" ref="AE115" si="20">AD115*$D$8</f>
        <v>0</v>
      </c>
      <c r="AF115" s="71">
        <f>IFERROR(AD115*INDEX('BEES Data'!$B$15:$AL$15,1,MATCH('LED Lighting Estimator'!AA115,'BEES Data'!$B$5:$AL$5)),0)</f>
        <v>0</v>
      </c>
      <c r="AG115" s="94">
        <f t="shared" si="19"/>
        <v>0</v>
      </c>
    </row>
    <row r="116" spans="2:33" x14ac:dyDescent="0.3">
      <c r="N116" s="102"/>
      <c r="O116" s="102"/>
      <c r="T116" s="102"/>
      <c r="U116" s="102"/>
    </row>
  </sheetData>
  <sheetProtection algorithmName="SHA-512" hashValue="yh03vWAmLpM5gqdCNWjt30qpyn6pnACKzh6oXekd4VMyet6dgC0unzbyFeK8jDcJoeTITgrcKvHWFaQPDJWX5A==" saltValue="Fitd5TuM4qb6FmZsl/4uoQ==" spinCount="100000" sheet="1" objects="1" scenarios="1"/>
  <phoneticPr fontId="6" type="noConversion"/>
  <dataValidations count="10">
    <dataValidation type="list" allowBlank="1" showInputMessage="1" showErrorMessage="1" sqref="E19:E115" xr:uid="{43BF2807-5C2C-4F85-99F3-F5CE3B1A9A7C}">
      <formula1>AreaUseCategory</formula1>
    </dataValidation>
    <dataValidation type="list" allowBlank="1" showInputMessage="1" showErrorMessage="1" sqref="G19:G115" xr:uid="{9CC321C0-0D0B-4E3A-9BCE-914ABFB784AE}">
      <formula1>LampType</formula1>
    </dataValidation>
    <dataValidation type="list" allowBlank="1" showInputMessage="1" showErrorMessage="1" sqref="H19:H115" xr:uid="{B0AB0040-B991-4C09-BF2B-33AAADDE050D}">
      <formula1>Density</formula1>
    </dataValidation>
    <dataValidation type="list" allowBlank="1" showInputMessage="1" showErrorMessage="1" sqref="I19:I115" xr:uid="{5A2098B5-749E-4120-B905-CD10DEAD3D03}">
      <formula1>Useage</formula1>
    </dataValidation>
    <dataValidation type="list" allowBlank="1" showInputMessage="1" showErrorMessage="1" sqref="K19:K115" xr:uid="{C3CAE4B5-A5F7-49E1-87A5-DCAE96B1B4BF}">
      <formula1>Choice</formula1>
    </dataValidation>
    <dataValidation type="list" allowBlank="1" showInputMessage="1" showErrorMessage="1" sqref="AA19:AA115" xr:uid="{9ADB18B3-FDB6-46B4-B1F7-C55EE10E74E3}">
      <formula1>BeesUseCategory</formula1>
    </dataValidation>
    <dataValidation type="list" allowBlank="1" showInputMessage="1" showErrorMessage="1" sqref="AB19:AB115" xr:uid="{7839863D-225F-41B3-A70C-A579001C803C}">
      <formula1>BeesLightingCategory</formula1>
    </dataValidation>
    <dataValidation type="list" allowBlank="1" showInputMessage="1" showErrorMessage="1" sqref="F17 D5" xr:uid="{D7021BC5-BCED-4FDD-889B-6D2E9828D35E}">
      <formula1>SiteType</formula1>
    </dataValidation>
    <dataValidation type="list" allowBlank="1" showInputMessage="1" showErrorMessage="1" sqref="J19:J115" xr:uid="{AA2A5326-4B91-481B-922A-7FF001846603}">
      <formula1>Days</formula1>
    </dataValidation>
    <dataValidation type="list" allowBlank="1" showInputMessage="1" showErrorMessage="1" sqref="F19:F115" xr:uid="{408A67F6-5298-4FCF-A22B-638B85FAB99D}">
      <formula1>INDIRECT(D$5)</formula1>
    </dataValidation>
  </dataValidations>
  <pageMargins left="0.7" right="0.7" top="0.75" bottom="0.75" header="0.3" footer="0.3"/>
  <pageSetup paperSize="9" orientation="portrait" r:id="rId1"/>
  <headerFooter>
    <oddFooter>&amp;L&amp;1#&amp;"Calibri"&amp;10&amp;K000000 -------------------------------------------------------- This document is marked as confidential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59D0-31CC-4DC6-ACD8-F3CBB858D017}">
  <sheetPr codeName="Sheet5">
    <pageSetUpPr autoPageBreaks="0"/>
  </sheetPr>
  <dimension ref="A1:G46"/>
  <sheetViews>
    <sheetView showGridLines="0" workbookViewId="0"/>
  </sheetViews>
  <sheetFormatPr defaultColWidth="0" defaultRowHeight="14.4" zeroHeight="1" x14ac:dyDescent="0.3"/>
  <cols>
    <col min="1" max="1" width="3.5546875" style="44" customWidth="1"/>
    <col min="2" max="6" width="16.6640625" style="44" customWidth="1"/>
    <col min="7" max="7" width="8.88671875" style="44" customWidth="1"/>
    <col min="8" max="16384" width="8.88671875" style="44" hidden="1"/>
  </cols>
  <sheetData>
    <row r="1" spans="1:7" x14ac:dyDescent="0.3">
      <c r="A1"/>
      <c r="B1"/>
      <c r="C1"/>
      <c r="D1"/>
      <c r="E1"/>
      <c r="F1"/>
      <c r="G1"/>
    </row>
    <row r="2" spans="1:7" ht="18" x14ac:dyDescent="0.3">
      <c r="A2"/>
      <c r="B2" s="29" t="s">
        <v>83</v>
      </c>
      <c r="C2"/>
      <c r="D2"/>
      <c r="E2"/>
      <c r="F2"/>
      <c r="G2"/>
    </row>
    <row r="3" spans="1:7" x14ac:dyDescent="0.3">
      <c r="A3"/>
      <c r="B3"/>
      <c r="C3"/>
      <c r="D3"/>
      <c r="E3"/>
      <c r="F3"/>
      <c r="G3"/>
    </row>
    <row r="4" spans="1:7" ht="34.200000000000003" customHeight="1" x14ac:dyDescent="0.3">
      <c r="A4"/>
      <c r="B4" s="28" t="s">
        <v>84</v>
      </c>
      <c r="C4" s="28" t="s">
        <v>85</v>
      </c>
      <c r="D4" s="28" t="s">
        <v>86</v>
      </c>
      <c r="E4" s="28" t="s">
        <v>87</v>
      </c>
      <c r="F4" s="28" t="s">
        <v>88</v>
      </c>
      <c r="G4"/>
    </row>
    <row r="5" spans="1:7" x14ac:dyDescent="0.3">
      <c r="A5"/>
      <c r="B5" s="97">
        <v>4</v>
      </c>
      <c r="C5" s="45">
        <f>SUMIF('LED Lighting Estimator'!$I$19:$I$116,'Saving Hours'!B5,'LED Lighting Estimator'!$N$19:$N$116)-SUMIF('LED Lighting Estimator'!$I$19:$I$116,'Saving Hours'!B5,'LED Lighting Estimator'!$O$19:$O$116)</f>
        <v>0</v>
      </c>
      <c r="D5" s="46">
        <f>C5/365.25/B5/2</f>
        <v>0</v>
      </c>
      <c r="E5" s="47">
        <v>0.375</v>
      </c>
      <c r="F5" s="47">
        <v>0.70833333333333337</v>
      </c>
      <c r="G5"/>
    </row>
    <row r="6" spans="1:7" x14ac:dyDescent="0.3">
      <c r="A6"/>
      <c r="B6" s="98">
        <v>8</v>
      </c>
      <c r="C6" s="48">
        <f>SUMIF('LED Lighting Estimator'!$I$19:$I$116,'Saving Hours'!B6,'LED Lighting Estimator'!$N$19:$N$116)-SUMIF('LED Lighting Estimator'!$I$19:$I$116,'Saving Hours'!B6,'LED Lighting Estimator'!$O$19:$O$116)</f>
        <v>0</v>
      </c>
      <c r="D6" s="49">
        <f t="shared" ref="D6:D10" si="0">C6/365.25/B6</f>
        <v>0</v>
      </c>
      <c r="E6" s="50">
        <v>0.375</v>
      </c>
      <c r="F6" s="50">
        <v>0.70833333333333337</v>
      </c>
      <c r="G6"/>
    </row>
    <row r="7" spans="1:7" x14ac:dyDescent="0.3">
      <c r="A7"/>
      <c r="B7" s="98">
        <v>10</v>
      </c>
      <c r="C7" s="48">
        <f>SUMIF('LED Lighting Estimator'!$I$19:$I$116,'Saving Hours'!B7,'LED Lighting Estimator'!$N$19:$N$116)-SUMIF('LED Lighting Estimator'!$I$19:$I$116,'Saving Hours'!B7,'LED Lighting Estimator'!$O$19:$O$116)</f>
        <v>0</v>
      </c>
      <c r="D7" s="49">
        <f t="shared" si="0"/>
        <v>0</v>
      </c>
      <c r="E7" s="50">
        <v>0.33333333333333331</v>
      </c>
      <c r="F7" s="50">
        <v>0.75</v>
      </c>
      <c r="G7"/>
    </row>
    <row r="8" spans="1:7" x14ac:dyDescent="0.3">
      <c r="A8"/>
      <c r="B8" s="98">
        <v>12</v>
      </c>
      <c r="C8" s="48">
        <f>SUMIF('LED Lighting Estimator'!$I$19:$I$116,'Saving Hours'!B8,'LED Lighting Estimator'!$N$19:$N$116)-SUMIF('LED Lighting Estimator'!$I$19:$I$116,'Saving Hours'!B8,'LED Lighting Estimator'!$O$19:$O$116)</f>
        <v>0</v>
      </c>
      <c r="D8" s="49">
        <f t="shared" si="0"/>
        <v>0</v>
      </c>
      <c r="E8" s="50">
        <v>0.29166666666666669</v>
      </c>
      <c r="F8" s="50">
        <v>0.79166666666666663</v>
      </c>
      <c r="G8"/>
    </row>
    <row r="9" spans="1:7" x14ac:dyDescent="0.3">
      <c r="A9"/>
      <c r="B9" s="98">
        <v>18</v>
      </c>
      <c r="C9" s="48">
        <f>SUMIF('LED Lighting Estimator'!$I$19:$I$116,'Saving Hours'!B9,'LED Lighting Estimator'!$N$19:$N$116)-SUMIF('LED Lighting Estimator'!$I$19:$I$116,'Saving Hours'!B9,'LED Lighting Estimator'!$O$19:$O$116)</f>
        <v>0</v>
      </c>
      <c r="D9" s="49">
        <f t="shared" si="0"/>
        <v>0</v>
      </c>
      <c r="E9" s="50">
        <v>0.25</v>
      </c>
      <c r="F9" s="50">
        <v>1</v>
      </c>
      <c r="G9"/>
    </row>
    <row r="10" spans="1:7" x14ac:dyDescent="0.3">
      <c r="A10"/>
      <c r="B10" s="99">
        <v>24</v>
      </c>
      <c r="C10" s="51">
        <f>SUMIF('LED Lighting Estimator'!$I$19:$I$116,'Saving Hours'!B10,'LED Lighting Estimator'!$N$19:$N$116)-SUMIF('LED Lighting Estimator'!$I$19:$I$116,'Saving Hours'!B10,'LED Lighting Estimator'!$O$19:$O$116)</f>
        <v>0</v>
      </c>
      <c r="D10" s="52">
        <f t="shared" si="0"/>
        <v>0</v>
      </c>
      <c r="E10" s="53">
        <v>0</v>
      </c>
      <c r="F10" s="53">
        <v>0</v>
      </c>
      <c r="G10"/>
    </row>
    <row r="11" spans="1:7" x14ac:dyDescent="0.3">
      <c r="A11"/>
      <c r="B11"/>
      <c r="C11"/>
      <c r="D11"/>
      <c r="E11"/>
      <c r="F11"/>
      <c r="G11"/>
    </row>
    <row r="17" s="44" customFormat="1" hidden="1" x14ac:dyDescent="0.3"/>
    <row r="18" s="44" customFormat="1" hidden="1" x14ac:dyDescent="0.3"/>
    <row r="19" s="44" customFormat="1" hidden="1" x14ac:dyDescent="0.3"/>
    <row r="20" s="44" customFormat="1" hidden="1" x14ac:dyDescent="0.3"/>
    <row r="21" s="44" customFormat="1" hidden="1" x14ac:dyDescent="0.3"/>
    <row r="22" s="44" customFormat="1" hidden="1" x14ac:dyDescent="0.3"/>
    <row r="23" s="44" customFormat="1" hidden="1" x14ac:dyDescent="0.3"/>
    <row r="24" s="44" customFormat="1" hidden="1" x14ac:dyDescent="0.3"/>
    <row r="25" s="44" customFormat="1" hidden="1" x14ac:dyDescent="0.3"/>
    <row r="26" s="44" customFormat="1" hidden="1" x14ac:dyDescent="0.3"/>
    <row r="27" s="44" customFormat="1" hidden="1" x14ac:dyDescent="0.3"/>
    <row r="28" s="44" customFormat="1" hidden="1" x14ac:dyDescent="0.3"/>
    <row r="29" s="44" customFormat="1" hidden="1" x14ac:dyDescent="0.3"/>
    <row r="30" s="44" customFormat="1" hidden="1" x14ac:dyDescent="0.3"/>
    <row r="31" s="44" customFormat="1" hidden="1" x14ac:dyDescent="0.3"/>
    <row r="32" s="44" customFormat="1" hidden="1" x14ac:dyDescent="0.3"/>
    <row r="33" s="44" customFormat="1" hidden="1" x14ac:dyDescent="0.3"/>
    <row r="34" s="44" customFormat="1" hidden="1" x14ac:dyDescent="0.3"/>
    <row r="35" s="44" customFormat="1" hidden="1" x14ac:dyDescent="0.3"/>
    <row r="36" s="44" customFormat="1" hidden="1" x14ac:dyDescent="0.3"/>
    <row r="37" s="44" customFormat="1" hidden="1" x14ac:dyDescent="0.3"/>
    <row r="38" s="44" customFormat="1" hidden="1" x14ac:dyDescent="0.3"/>
    <row r="39" s="44" customFormat="1" hidden="1" x14ac:dyDescent="0.3"/>
    <row r="40" s="44" customFormat="1" hidden="1" x14ac:dyDescent="0.3"/>
    <row r="41" s="44" customFormat="1" hidden="1" x14ac:dyDescent="0.3"/>
    <row r="42" s="44" customFormat="1" hidden="1" x14ac:dyDescent="0.3"/>
    <row r="43" s="44" customFormat="1" hidden="1" x14ac:dyDescent="0.3"/>
    <row r="44" s="44" customFormat="1" hidden="1" x14ac:dyDescent="0.3"/>
    <row r="45" s="44" customFormat="1" hidden="1" x14ac:dyDescent="0.3"/>
    <row r="46" s="44" customFormat="1" hidden="1" x14ac:dyDescent="0.3"/>
  </sheetData>
  <sheetProtection algorithmName="SHA-512" hashValue="XlMpJ5uOeInu23ePjzJy7ytwBUoi4yZo68ca3gMp0AwZCYBKMtvZK/9T4RfVuPqruW3QbVcuPWZyppAu1oAhYg==" saltValue="FlDy9vW/FB3I+eSO0lr51Q==" spinCount="100000" sheet="1" objects="1" scenarios="1"/>
  <pageMargins left="0.7" right="0.7" top="0.75" bottom="0.75" header="0.3" footer="0.3"/>
  <pageSetup paperSize="9" orientation="portrait" r:id="rId1"/>
  <headerFooter>
    <oddFooter>&amp;L&amp;1#&amp;"Calibri"&amp;10&amp;K000000 -------------------------------------------------------- This document is marked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66B6-AB39-4F3A-B832-037F697C67D7}">
  <sheetPr codeName="Sheet3">
    <tabColor theme="8" tint="0.39997558519241921"/>
    <pageSetUpPr autoPageBreaks="0"/>
  </sheetPr>
  <dimension ref="A1:E32"/>
  <sheetViews>
    <sheetView showGridLines="0" workbookViewId="0">
      <selection activeCell="C21" sqref="C21"/>
    </sheetView>
  </sheetViews>
  <sheetFormatPr defaultColWidth="0" defaultRowHeight="14.4" zeroHeight="1" x14ac:dyDescent="0.3"/>
  <cols>
    <col min="1" max="1" width="3.88671875" customWidth="1"/>
    <col min="2" max="2" width="37.109375" bestFit="1" customWidth="1"/>
    <col min="3" max="3" width="70.5546875" customWidth="1"/>
    <col min="4" max="4" width="37.5546875" customWidth="1"/>
    <col min="5" max="5" width="8.88671875" customWidth="1"/>
    <col min="6" max="16384" width="8.88671875" hidden="1"/>
  </cols>
  <sheetData>
    <row r="1" spans="2:4" x14ac:dyDescent="0.3"/>
    <row r="2" spans="2:4" ht="18" x14ac:dyDescent="0.3">
      <c r="B2" s="29" t="s">
        <v>89</v>
      </c>
    </row>
    <row r="3" spans="2:4" x14ac:dyDescent="0.3"/>
    <row r="4" spans="2:4" s="8" customFormat="1" ht="18" x14ac:dyDescent="0.35">
      <c r="B4" s="28" t="s">
        <v>90</v>
      </c>
      <c r="C4" s="28" t="s">
        <v>91</v>
      </c>
      <c r="D4" s="28" t="s">
        <v>92</v>
      </c>
    </row>
    <row r="5" spans="2:4" x14ac:dyDescent="0.3">
      <c r="B5" s="95" t="s">
        <v>46</v>
      </c>
      <c r="C5" s="96"/>
      <c r="D5" s="95"/>
    </row>
    <row r="6" spans="2:4" x14ac:dyDescent="0.3">
      <c r="B6" s="95" t="s">
        <v>48</v>
      </c>
      <c r="C6" s="96"/>
      <c r="D6" s="95"/>
    </row>
    <row r="7" spans="2:4" x14ac:dyDescent="0.3">
      <c r="B7" s="95" t="s">
        <v>49</v>
      </c>
      <c r="C7" s="96"/>
      <c r="D7" s="95"/>
    </row>
    <row r="8" spans="2:4" x14ac:dyDescent="0.3">
      <c r="B8" s="95" t="s">
        <v>50</v>
      </c>
      <c r="C8" s="96"/>
      <c r="D8" s="95"/>
    </row>
    <row r="9" spans="2:4" x14ac:dyDescent="0.3">
      <c r="B9" s="95" t="s">
        <v>93</v>
      </c>
      <c r="C9" s="96"/>
      <c r="D9" s="95"/>
    </row>
    <row r="10" spans="2:4" ht="16.2" x14ac:dyDescent="0.3">
      <c r="B10" s="95" t="s">
        <v>94</v>
      </c>
      <c r="C10" s="96"/>
      <c r="D10" s="95"/>
    </row>
    <row r="11" spans="2:4" ht="16.2" x14ac:dyDescent="0.3">
      <c r="B11" s="95" t="s">
        <v>95</v>
      </c>
      <c r="C11" s="96"/>
      <c r="D11" s="95"/>
    </row>
    <row r="12" spans="2:4" x14ac:dyDescent="0.3">
      <c r="B12" s="95" t="s">
        <v>96</v>
      </c>
      <c r="C12" s="96"/>
      <c r="D12" s="95"/>
    </row>
    <row r="13" spans="2:4" x14ac:dyDescent="0.3">
      <c r="B13" s="95" t="s">
        <v>36</v>
      </c>
      <c r="C13" s="96"/>
      <c r="D13" s="95"/>
    </row>
    <row r="14" spans="2:4" x14ac:dyDescent="0.3">
      <c r="B14" s="95" t="s">
        <v>53</v>
      </c>
      <c r="C14" s="96"/>
      <c r="D14" s="95"/>
    </row>
    <row r="15" spans="2:4" x14ac:dyDescent="0.3">
      <c r="B15" s="95" t="s">
        <v>97</v>
      </c>
      <c r="C15" s="96"/>
      <c r="D15" s="95"/>
    </row>
    <row r="16" spans="2:4" x14ac:dyDescent="0.3">
      <c r="B16" s="95" t="s">
        <v>55</v>
      </c>
      <c r="C16" s="96"/>
      <c r="D16" s="95"/>
    </row>
    <row r="17" spans="2:4" x14ac:dyDescent="0.3">
      <c r="B17" s="95" t="s">
        <v>56</v>
      </c>
      <c r="C17" s="96"/>
      <c r="D17" s="95"/>
    </row>
    <row r="18" spans="2:4" x14ac:dyDescent="0.3">
      <c r="B18" s="95" t="s">
        <v>57</v>
      </c>
      <c r="C18" s="96"/>
      <c r="D18" s="95"/>
    </row>
    <row r="19" spans="2:4" x14ac:dyDescent="0.3">
      <c r="B19" s="95" t="s">
        <v>58</v>
      </c>
      <c r="C19" s="96"/>
      <c r="D19" s="95"/>
    </row>
    <row r="20" spans="2:4" x14ac:dyDescent="0.3">
      <c r="B20" s="95" t="s">
        <v>98</v>
      </c>
      <c r="C20" s="96"/>
      <c r="D20" s="95"/>
    </row>
    <row r="21" spans="2:4" x14ac:dyDescent="0.3">
      <c r="B21" s="95" t="s">
        <v>61</v>
      </c>
      <c r="C21" s="96"/>
      <c r="D21" s="95"/>
    </row>
    <row r="22" spans="2:4" x14ac:dyDescent="0.3">
      <c r="B22" s="95"/>
      <c r="C22" s="95"/>
      <c r="D22" s="95"/>
    </row>
    <row r="23" spans="2:4" x14ac:dyDescent="0.3">
      <c r="B23" s="95"/>
      <c r="C23" s="95"/>
      <c r="D23" s="95"/>
    </row>
    <row r="24" spans="2:4" x14ac:dyDescent="0.3">
      <c r="B24" s="95"/>
      <c r="C24" s="95"/>
      <c r="D24" s="95"/>
    </row>
    <row r="25" spans="2:4" x14ac:dyDescent="0.3">
      <c r="B25" s="95"/>
      <c r="C25" s="95"/>
      <c r="D25" s="95"/>
    </row>
    <row r="26" spans="2:4" x14ac:dyDescent="0.3">
      <c r="B26" s="95"/>
      <c r="C26" s="95"/>
      <c r="D26" s="95"/>
    </row>
    <row r="27" spans="2:4" x14ac:dyDescent="0.3">
      <c r="B27" s="95"/>
      <c r="C27" s="95"/>
      <c r="D27" s="95"/>
    </row>
    <row r="28" spans="2:4" x14ac:dyDescent="0.3">
      <c r="B28" s="95"/>
      <c r="C28" s="95"/>
      <c r="D28" s="95"/>
    </row>
    <row r="29" spans="2:4" x14ac:dyDescent="0.3">
      <c r="B29" s="95"/>
      <c r="C29" s="95"/>
      <c r="D29" s="95"/>
    </row>
    <row r="30" spans="2:4" x14ac:dyDescent="0.3">
      <c r="B30" s="95"/>
      <c r="C30" s="95"/>
      <c r="D30" s="95"/>
    </row>
    <row r="31" spans="2:4" x14ac:dyDescent="0.3">
      <c r="B31" s="95"/>
      <c r="C31" s="95"/>
      <c r="D31" s="95"/>
    </row>
    <row r="32" spans="2:4" x14ac:dyDescent="0.3"/>
  </sheetData>
  <sheetProtection algorithmName="SHA-512" hashValue="KcVRGnUYMrhyoZDBMfqGnIp0RS0ZiSycUnpwenkumCfFiX7NvNLDewwlh/CTNsrSGmy4PT4upVGDLoc0OAAahA==" saltValue="4GxRV6Fm+9c6QTQdWcpieQ==" spinCount="100000" sheet="1" objects="1" scenarios="1" selectLockedCells="1"/>
  <pageMargins left="0.7" right="0.7" top="0.75" bottom="0.75" header="0.3" footer="0.3"/>
  <pageSetup paperSize="9" orientation="portrait" r:id="rId1"/>
  <headerFooter>
    <oddFooter>&amp;L&amp;1#&amp;"Calibri"&amp;10&amp;K000000 -------------------------------------------------------- This document is marked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EC60-7214-4F91-AEF0-1DF6C5288621}">
  <sheetPr codeName="Sheet1">
    <tabColor theme="8" tint="0.39997558519241921"/>
    <pageSetUpPr autoPageBreaks="0"/>
  </sheetPr>
  <dimension ref="A1:F28"/>
  <sheetViews>
    <sheetView showGridLines="0" zoomScaleNormal="100" workbookViewId="0"/>
  </sheetViews>
  <sheetFormatPr defaultColWidth="0" defaultRowHeight="14.4" zeroHeight="1" x14ac:dyDescent="0.3"/>
  <cols>
    <col min="1" max="1" width="3.5546875" customWidth="1"/>
    <col min="2" max="2" width="15.6640625" bestFit="1" customWidth="1"/>
    <col min="3" max="3" width="14.109375" bestFit="1" customWidth="1"/>
    <col min="4" max="4" width="13.5546875" bestFit="1" customWidth="1"/>
    <col min="5" max="5" width="76.5546875" style="9" bestFit="1" customWidth="1"/>
    <col min="6" max="6" width="8.88671875" customWidth="1"/>
    <col min="7" max="16384" width="8.88671875" hidden="1"/>
  </cols>
  <sheetData>
    <row r="1" spans="2:5" x14ac:dyDescent="0.3"/>
    <row r="2" spans="2:5" ht="18" x14ac:dyDescent="0.3">
      <c r="B2" s="29" t="s">
        <v>99</v>
      </c>
    </row>
    <row r="3" spans="2:5" x14ac:dyDescent="0.3"/>
    <row r="4" spans="2:5" s="8" customFormat="1" ht="18" x14ac:dyDescent="0.35">
      <c r="B4" s="28" t="s">
        <v>100</v>
      </c>
      <c r="C4" s="28" t="s">
        <v>101</v>
      </c>
      <c r="D4" s="28" t="s">
        <v>102</v>
      </c>
      <c r="E4" s="28" t="s">
        <v>103</v>
      </c>
    </row>
    <row r="5" spans="2:5" x14ac:dyDescent="0.3">
      <c r="B5" s="23">
        <v>1</v>
      </c>
      <c r="C5" s="24">
        <v>44539</v>
      </c>
      <c r="D5" s="25" t="s">
        <v>104</v>
      </c>
      <c r="E5" s="26" t="s">
        <v>105</v>
      </c>
    </row>
    <row r="6" spans="2:5" x14ac:dyDescent="0.3">
      <c r="B6" s="23">
        <v>2</v>
      </c>
      <c r="C6" s="24">
        <v>44946</v>
      </c>
      <c r="D6" s="25" t="s">
        <v>104</v>
      </c>
      <c r="E6" s="26" t="s">
        <v>106</v>
      </c>
    </row>
    <row r="7" spans="2:5" x14ac:dyDescent="0.3">
      <c r="B7" s="23"/>
      <c r="C7" s="24"/>
      <c r="D7" s="25"/>
      <c r="E7" s="26"/>
    </row>
    <row r="8" spans="2:5" x14ac:dyDescent="0.3">
      <c r="B8" s="23"/>
      <c r="C8" s="24"/>
      <c r="D8" s="25"/>
      <c r="E8" s="26"/>
    </row>
    <row r="9" spans="2:5" x14ac:dyDescent="0.3">
      <c r="B9" s="23"/>
      <c r="C9" s="24"/>
      <c r="D9" s="25"/>
      <c r="E9" s="26"/>
    </row>
    <row r="10" spans="2:5" x14ac:dyDescent="0.3">
      <c r="B10" s="23"/>
      <c r="C10" s="24"/>
      <c r="D10" s="25"/>
      <c r="E10" s="26"/>
    </row>
    <row r="11" spans="2:5" x14ac:dyDescent="0.3">
      <c r="B11" s="23"/>
      <c r="C11" s="24"/>
      <c r="D11" s="25"/>
      <c r="E11" s="26"/>
    </row>
    <row r="12" spans="2:5" x14ac:dyDescent="0.3">
      <c r="B12" s="23"/>
      <c r="C12" s="24"/>
      <c r="D12" s="25"/>
      <c r="E12" s="26"/>
    </row>
    <row r="13" spans="2:5" x14ac:dyDescent="0.3">
      <c r="B13" s="23"/>
      <c r="C13" s="24"/>
      <c r="D13" s="25"/>
      <c r="E13" s="26"/>
    </row>
    <row r="14" spans="2:5" x14ac:dyDescent="0.3">
      <c r="B14" s="23"/>
      <c r="C14" s="24"/>
      <c r="D14" s="25"/>
      <c r="E14" s="26"/>
    </row>
    <row r="15" spans="2:5" x14ac:dyDescent="0.3">
      <c r="B15" s="27"/>
      <c r="C15" s="24"/>
      <c r="D15" s="25"/>
      <c r="E15" s="26"/>
    </row>
    <row r="16" spans="2:5" x14ac:dyDescent="0.3">
      <c r="B16" s="27"/>
      <c r="C16" s="24"/>
      <c r="D16" s="25"/>
      <c r="E16" s="26"/>
    </row>
    <row r="17" spans="2:5" x14ac:dyDescent="0.3">
      <c r="B17" s="27"/>
      <c r="C17" s="24"/>
      <c r="D17" s="25"/>
      <c r="E17" s="26"/>
    </row>
    <row r="18" spans="2:5" x14ac:dyDescent="0.3">
      <c r="B18" s="27"/>
      <c r="C18" s="24"/>
      <c r="D18" s="25"/>
      <c r="E18" s="26"/>
    </row>
    <row r="19" spans="2:5" x14ac:dyDescent="0.3">
      <c r="B19" s="27"/>
      <c r="C19" s="24"/>
      <c r="D19" s="25"/>
      <c r="E19" s="26"/>
    </row>
    <row r="20" spans="2:5" x14ac:dyDescent="0.3">
      <c r="B20" s="23"/>
      <c r="C20" s="24"/>
      <c r="D20" s="25"/>
      <c r="E20" s="26"/>
    </row>
    <row r="21" spans="2:5" x14ac:dyDescent="0.3">
      <c r="B21" s="25"/>
      <c r="C21" s="24"/>
      <c r="D21" s="25"/>
      <c r="E21" s="26"/>
    </row>
    <row r="22" spans="2:5" x14ac:dyDescent="0.3">
      <c r="B22" s="25"/>
      <c r="C22" s="24"/>
      <c r="D22" s="25"/>
      <c r="E22" s="26"/>
    </row>
    <row r="23" spans="2:5" x14ac:dyDescent="0.3">
      <c r="B23" s="25"/>
      <c r="C23" s="25"/>
      <c r="D23" s="25"/>
      <c r="E23" s="26"/>
    </row>
    <row r="24" spans="2:5" x14ac:dyDescent="0.3">
      <c r="B24" s="25"/>
      <c r="C24" s="25"/>
      <c r="D24" s="25"/>
      <c r="E24" s="26"/>
    </row>
    <row r="25" spans="2:5" x14ac:dyDescent="0.3">
      <c r="B25" s="25"/>
      <c r="C25" s="25"/>
      <c r="D25" s="25"/>
      <c r="E25" s="26"/>
    </row>
    <row r="26" spans="2:5" x14ac:dyDescent="0.3">
      <c r="B26" s="25"/>
      <c r="C26" s="25"/>
      <c r="D26" s="25"/>
      <c r="E26" s="26"/>
    </row>
    <row r="27" spans="2:5" x14ac:dyDescent="0.3">
      <c r="B27" s="25"/>
      <c r="C27" s="25"/>
      <c r="D27" s="25"/>
      <c r="E27" s="26"/>
    </row>
    <row r="28" spans="2:5" x14ac:dyDescent="0.3"/>
  </sheetData>
  <sheetProtection algorithmName="SHA-512" hashValue="PUZA+UKUDp/56fhBSrdQdVHPHjvs5vSNGfM0E8/mp6lGK25+XsfQL2e08BzYqAuq28ViOa39Rj/86jBNeFsFtw==" saltValue="3QBIKpznWMvCLkymZfMJ0w==" spinCount="100000" sheet="1" objects="1" scenarios="1" selectLockedCells="1"/>
  <pageMargins left="0.7" right="0.7" top="0.75" bottom="0.75" header="0.3" footer="0.3"/>
  <pageSetup paperSize="9" orientation="portrait" r:id="rId1"/>
  <headerFooter>
    <oddFooter>&amp;C© 2021 Energy Systems Catapult Limited&amp;L&amp;1#&amp;"Calibri"&amp;10&amp;K000000 -------------------------------------------------------- This document is marked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667E-B4B1-4C46-A56E-3277F5A94403}">
  <sheetPr codeName="Sheet6">
    <tabColor rgb="FFFF0000"/>
  </sheetPr>
  <dimension ref="A1:I22"/>
  <sheetViews>
    <sheetView workbookViewId="0"/>
  </sheetViews>
  <sheetFormatPr defaultRowHeight="14.4" x14ac:dyDescent="0.3"/>
  <cols>
    <col min="1" max="1" width="12.5546875" bestFit="1" customWidth="1"/>
    <col min="2" max="2" width="22.5546875" bestFit="1" customWidth="1"/>
    <col min="3" max="3" width="9.5546875" bestFit="1" customWidth="1"/>
    <col min="4" max="4" width="59.44140625" bestFit="1" customWidth="1"/>
  </cols>
  <sheetData>
    <row r="1" spans="1:9" x14ac:dyDescent="0.3">
      <c r="B1" s="17" t="s">
        <v>107</v>
      </c>
    </row>
    <row r="2" spans="1:9" x14ac:dyDescent="0.3">
      <c r="B2" s="153" t="s">
        <v>108</v>
      </c>
      <c r="C2" s="153"/>
      <c r="D2" s="153"/>
    </row>
    <row r="3" spans="1:9" s="4" customFormat="1" x14ac:dyDescent="0.3">
      <c r="B3" s="4" t="s">
        <v>55</v>
      </c>
      <c r="C3" s="4" t="s">
        <v>109</v>
      </c>
      <c r="D3" s="4" t="s">
        <v>110</v>
      </c>
    </row>
    <row r="4" spans="1:9" x14ac:dyDescent="0.3">
      <c r="A4" s="18" t="s">
        <v>111</v>
      </c>
      <c r="B4" t="s">
        <v>112</v>
      </c>
      <c r="C4" s="2">
        <f>6.14153960005513*$H$7</f>
        <v>6.7923892591709718</v>
      </c>
      <c r="D4" t="s">
        <v>113</v>
      </c>
      <c r="F4" s="130"/>
      <c r="G4" s="128" t="s">
        <v>114</v>
      </c>
      <c r="H4" s="130"/>
      <c r="I4" s="130"/>
    </row>
    <row r="5" spans="1:9" x14ac:dyDescent="0.3">
      <c r="A5" s="18" t="s">
        <v>111</v>
      </c>
      <c r="B5" t="s">
        <v>115</v>
      </c>
      <c r="C5" s="2">
        <f>4.47524874554608*$H$7</f>
        <v>4.9495132313553247</v>
      </c>
      <c r="D5" t="s">
        <v>113</v>
      </c>
      <c r="F5" s="130"/>
      <c r="G5" s="130">
        <v>2021</v>
      </c>
      <c r="H5" s="129">
        <v>2.5000000000000001E-2</v>
      </c>
      <c r="I5" s="130"/>
    </row>
    <row r="6" spans="1:9" x14ac:dyDescent="0.3">
      <c r="A6" s="18" t="s">
        <v>111</v>
      </c>
      <c r="B6" t="s">
        <v>116</v>
      </c>
      <c r="C6" s="2">
        <f>4.16987883114411*$H$7</f>
        <v>4.6117817402746066</v>
      </c>
      <c r="D6" t="s">
        <v>113</v>
      </c>
      <c r="F6" s="130"/>
      <c r="G6" s="130">
        <v>2022</v>
      </c>
      <c r="H6" s="129">
        <v>7.9000000000000001E-2</v>
      </c>
      <c r="I6" s="130"/>
    </row>
    <row r="7" spans="1:9" x14ac:dyDescent="0.3">
      <c r="A7" s="18" t="s">
        <v>111</v>
      </c>
      <c r="B7" t="s">
        <v>117</v>
      </c>
      <c r="C7" s="2">
        <f>6.21824036223244*$H$7</f>
        <v>6.877218384620023</v>
      </c>
      <c r="D7" t="s">
        <v>113</v>
      </c>
      <c r="F7" s="130"/>
      <c r="G7" s="130"/>
      <c r="H7" s="129">
        <f>(1+H5)*(1+H6)</f>
        <v>1.1059749999999999</v>
      </c>
      <c r="I7" s="131" t="s">
        <v>118</v>
      </c>
    </row>
    <row r="8" spans="1:9" x14ac:dyDescent="0.3">
      <c r="A8" s="18" t="s">
        <v>111</v>
      </c>
      <c r="B8" t="s">
        <v>119</v>
      </c>
      <c r="C8" s="2">
        <f>5.0212290925027*$H$7</f>
        <v>5.5533538455806726</v>
      </c>
      <c r="D8" t="s">
        <v>113</v>
      </c>
    </row>
    <row r="9" spans="1:9" x14ac:dyDescent="0.3">
      <c r="A9" s="18" t="s">
        <v>111</v>
      </c>
      <c r="B9" t="s">
        <v>120</v>
      </c>
      <c r="C9" s="2">
        <f>5*$H$7</f>
        <v>5.5298749999999997</v>
      </c>
      <c r="D9" t="s">
        <v>113</v>
      </c>
    </row>
    <row r="10" spans="1:9" x14ac:dyDescent="0.3">
      <c r="A10" s="18" t="s">
        <v>111</v>
      </c>
      <c r="B10" t="s">
        <v>121</v>
      </c>
      <c r="C10" s="2">
        <f>4.97903389004469*$H$7</f>
        <v>5.5066870065421751</v>
      </c>
      <c r="D10" t="s">
        <v>113</v>
      </c>
    </row>
    <row r="11" spans="1:9" x14ac:dyDescent="0.3">
      <c r="A11" s="18" t="s">
        <v>111</v>
      </c>
      <c r="B11" t="s">
        <v>122</v>
      </c>
      <c r="C11" s="2">
        <f>3.54439700647249*$H$7</f>
        <v>3.9200144792334122</v>
      </c>
      <c r="D11" t="s">
        <v>113</v>
      </c>
    </row>
    <row r="12" spans="1:9" x14ac:dyDescent="0.3">
      <c r="B12" s="1"/>
      <c r="C12" s="2"/>
      <c r="D12" s="1"/>
    </row>
    <row r="13" spans="1:9" x14ac:dyDescent="0.3">
      <c r="A13" s="18" t="s">
        <v>32</v>
      </c>
      <c r="B13" t="s">
        <v>116</v>
      </c>
      <c r="C13" s="2">
        <f>3.56270225341707*$H$7</f>
        <v>3.9402596247229433</v>
      </c>
      <c r="D13" t="s">
        <v>113</v>
      </c>
    </row>
    <row r="14" spans="1:9" x14ac:dyDescent="0.3">
      <c r="A14" s="18" t="s">
        <v>32</v>
      </c>
      <c r="B14" t="s">
        <v>123</v>
      </c>
      <c r="C14" s="2">
        <f>3.81189374711583*$H$7</f>
        <v>4.2158591869664299</v>
      </c>
      <c r="D14" t="s">
        <v>113</v>
      </c>
    </row>
    <row r="15" spans="1:9" x14ac:dyDescent="0.3">
      <c r="A15" s="18" t="s">
        <v>32</v>
      </c>
      <c r="B15" t="s">
        <v>124</v>
      </c>
      <c r="C15" s="2">
        <f>2.91855772055224*$H$7</f>
        <v>3.2278518749877634</v>
      </c>
      <c r="D15" t="s">
        <v>113</v>
      </c>
    </row>
    <row r="16" spans="1:9" x14ac:dyDescent="0.3">
      <c r="A16" s="18" t="s">
        <v>32</v>
      </c>
      <c r="B16" t="s">
        <v>125</v>
      </c>
      <c r="C16" s="2">
        <f>3.97010643369864*$H$7</f>
        <v>4.3908384630098531</v>
      </c>
      <c r="D16" t="s">
        <v>113</v>
      </c>
    </row>
    <row r="17" spans="1:4" x14ac:dyDescent="0.3">
      <c r="A17" s="18" t="s">
        <v>32</v>
      </c>
      <c r="B17" t="s">
        <v>122</v>
      </c>
      <c r="C17" s="2">
        <f>3.54439700647249*$H$7</f>
        <v>3.9200144792334122</v>
      </c>
      <c r="D17" t="s">
        <v>113</v>
      </c>
    </row>
    <row r="18" spans="1:4" x14ac:dyDescent="0.3">
      <c r="A18" s="18"/>
    </row>
    <row r="19" spans="1:4" x14ac:dyDescent="0.3">
      <c r="A19" s="18" t="s">
        <v>126</v>
      </c>
      <c r="B19" t="s">
        <v>127</v>
      </c>
      <c r="C19" s="2">
        <f>4.83898364663465*$H$7</f>
        <v>5.3517949385867567</v>
      </c>
      <c r="D19" t="s">
        <v>113</v>
      </c>
    </row>
    <row r="20" spans="1:4" x14ac:dyDescent="0.3">
      <c r="A20" s="18" t="s">
        <v>126</v>
      </c>
      <c r="B20" t="s">
        <v>128</v>
      </c>
      <c r="C20" s="2">
        <f>5.29555998354977*$H$7</f>
        <v>5.8567569528064567</v>
      </c>
      <c r="D20" t="s">
        <v>113</v>
      </c>
    </row>
    <row r="21" spans="1:4" x14ac:dyDescent="0.3">
      <c r="A21" s="18" t="s">
        <v>126</v>
      </c>
      <c r="B21" t="s">
        <v>129</v>
      </c>
      <c r="C21" s="2">
        <f>5.4190483970428*$H$7</f>
        <v>5.9933320509194097</v>
      </c>
      <c r="D21" t="s">
        <v>113</v>
      </c>
    </row>
    <row r="22" spans="1:4" x14ac:dyDescent="0.3">
      <c r="A22" s="18" t="s">
        <v>126</v>
      </c>
      <c r="B22" t="s">
        <v>122</v>
      </c>
      <c r="C22" s="2">
        <f>3.54439700647249*$H$7</f>
        <v>3.9200144792334122</v>
      </c>
      <c r="D22" t="s">
        <v>113</v>
      </c>
    </row>
  </sheetData>
  <sortState xmlns:xlrd2="http://schemas.microsoft.com/office/spreadsheetml/2017/richdata2" ref="B13:C16">
    <sortCondition ref="B13:B16"/>
  </sortState>
  <mergeCells count="1">
    <mergeCell ref="B2:D2"/>
  </mergeCells>
  <hyperlinks>
    <hyperlink ref="G4" r:id="rId1" xr:uid="{B60AE113-45E5-4DD0-920D-D507D44B52F9}"/>
  </hyperlinks>
  <pageMargins left="0.7" right="0.7" top="0.75" bottom="0.75" header="0.3" footer="0.3"/>
  <pageSetup paperSize="9" orientation="portrait" r:id="rId2"/>
  <headerFooter>
    <oddFooter>&amp;L&amp;1#&amp;"Calibri"&amp;10&amp;K000000 -------------------------------------------------------- This document is marked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2851-3AB1-4B3B-A70A-C4513412AFA3}">
  <sheetPr codeName="Sheet14">
    <tabColor rgb="FFFF0000"/>
  </sheetPr>
  <dimension ref="B2:D4"/>
  <sheetViews>
    <sheetView workbookViewId="0"/>
  </sheetViews>
  <sheetFormatPr defaultRowHeight="14.4" x14ac:dyDescent="0.3"/>
  <cols>
    <col min="2" max="2" width="14" bestFit="1" customWidth="1"/>
    <col min="3" max="3" width="8.109375" customWidth="1"/>
    <col min="4" max="4" width="20.5546875" customWidth="1"/>
  </cols>
  <sheetData>
    <row r="2" spans="2:4" ht="15.6" x14ac:dyDescent="0.35">
      <c r="B2" s="126" t="s">
        <v>130</v>
      </c>
      <c r="C2" s="126" t="s">
        <v>131</v>
      </c>
      <c r="D2" s="126" t="s">
        <v>132</v>
      </c>
    </row>
    <row r="3" spans="2:4" x14ac:dyDescent="0.3">
      <c r="B3" s="127" t="s">
        <v>110</v>
      </c>
      <c r="C3" s="127" t="s">
        <v>133</v>
      </c>
      <c r="D3" s="127" t="s">
        <v>134</v>
      </c>
    </row>
    <row r="4" spans="2:4" x14ac:dyDescent="0.3">
      <c r="B4" t="s">
        <v>135</v>
      </c>
      <c r="C4" t="s">
        <v>136</v>
      </c>
      <c r="D4">
        <v>0.19338</v>
      </c>
    </row>
  </sheetData>
  <pageMargins left="0.7" right="0.7" top="0.75" bottom="0.75" header="0.3" footer="0.3"/>
  <pageSetup paperSize="9" orientation="portrait" r:id="rId1"/>
  <headerFooter>
    <oddFooter>&amp;L&amp;1#&amp;"Calibri"&amp;10&amp;K000000 -------------------------------------------------------- This document is marked as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58E2-646C-4F23-A580-69F29DF696CE}">
  <sheetPr codeName="Sheet7">
    <tabColor rgb="FFFF0000"/>
  </sheetPr>
  <dimension ref="A2:N46"/>
  <sheetViews>
    <sheetView workbookViewId="0"/>
  </sheetViews>
  <sheetFormatPr defaultRowHeight="14.4" x14ac:dyDescent="0.3"/>
  <cols>
    <col min="1" max="1" width="33.109375" bestFit="1" customWidth="1"/>
    <col min="2" max="2" width="24.109375" bestFit="1" customWidth="1"/>
    <col min="3" max="3" width="20.109375" bestFit="1" customWidth="1"/>
    <col min="4" max="4" width="20.109375" customWidth="1"/>
    <col min="5" max="5" width="14.109375" bestFit="1" customWidth="1"/>
    <col min="6" max="6" width="14.109375" customWidth="1"/>
    <col min="7" max="7" width="64.44140625" bestFit="1" customWidth="1"/>
    <col min="8" max="8" width="12.6640625" bestFit="1" customWidth="1"/>
    <col min="9" max="9" width="38.109375" customWidth="1"/>
    <col min="10" max="10" width="14.44140625" customWidth="1"/>
    <col min="11" max="11" width="12.44140625" bestFit="1" customWidth="1"/>
    <col min="12" max="12" width="11.6640625" bestFit="1" customWidth="1"/>
    <col min="13" max="13" width="9.109375" bestFit="1" customWidth="1"/>
    <col min="14" max="14" width="9.88671875" bestFit="1" customWidth="1"/>
  </cols>
  <sheetData>
    <row r="2" spans="1:10" s="4" customFormat="1" ht="16.2" x14ac:dyDescent="0.3">
      <c r="A2" s="4" t="s">
        <v>137</v>
      </c>
      <c r="B2" s="4" t="s">
        <v>138</v>
      </c>
      <c r="C2" s="4" t="s">
        <v>139</v>
      </c>
      <c r="D2" s="4" t="s">
        <v>140</v>
      </c>
      <c r="E2" s="4" t="s">
        <v>141</v>
      </c>
      <c r="F2" s="4" t="s">
        <v>142</v>
      </c>
      <c r="G2" s="4" t="s">
        <v>143</v>
      </c>
      <c r="I2" s="5" t="s">
        <v>56</v>
      </c>
      <c r="J2" s="4" t="s">
        <v>144</v>
      </c>
    </row>
    <row r="3" spans="1:10" x14ac:dyDescent="0.3">
      <c r="A3" t="s">
        <v>145</v>
      </c>
      <c r="B3" t="s">
        <v>146</v>
      </c>
      <c r="C3">
        <v>300</v>
      </c>
      <c r="D3" t="s">
        <v>147</v>
      </c>
      <c r="E3">
        <v>7</v>
      </c>
      <c r="F3" s="6">
        <v>12500</v>
      </c>
      <c r="G3" t="s">
        <v>148</v>
      </c>
      <c r="I3" t="s">
        <v>149</v>
      </c>
      <c r="J3">
        <v>200</v>
      </c>
    </row>
    <row r="4" spans="1:10" x14ac:dyDescent="0.3">
      <c r="A4" t="s">
        <v>145</v>
      </c>
      <c r="B4" t="s">
        <v>146</v>
      </c>
      <c r="C4">
        <v>500</v>
      </c>
      <c r="D4" t="s">
        <v>150</v>
      </c>
      <c r="E4">
        <v>11</v>
      </c>
      <c r="F4" s="6">
        <v>12500</v>
      </c>
      <c r="G4" t="s">
        <v>148</v>
      </c>
      <c r="I4" t="s">
        <v>151</v>
      </c>
      <c r="J4">
        <v>500</v>
      </c>
    </row>
    <row r="5" spans="1:10" x14ac:dyDescent="0.3">
      <c r="A5" t="s">
        <v>145</v>
      </c>
      <c r="B5" t="s">
        <v>146</v>
      </c>
      <c r="C5">
        <v>750</v>
      </c>
      <c r="D5" t="s">
        <v>152</v>
      </c>
      <c r="E5">
        <v>17</v>
      </c>
      <c r="F5" s="6">
        <v>12500</v>
      </c>
      <c r="G5" t="s">
        <v>148</v>
      </c>
      <c r="I5" t="s">
        <v>153</v>
      </c>
      <c r="J5">
        <v>500</v>
      </c>
    </row>
    <row r="6" spans="1:10" x14ac:dyDescent="0.3">
      <c r="A6" t="s">
        <v>145</v>
      </c>
      <c r="B6" t="s">
        <v>154</v>
      </c>
      <c r="C6">
        <v>300</v>
      </c>
      <c r="D6" t="s">
        <v>147</v>
      </c>
      <c r="E6">
        <v>8</v>
      </c>
      <c r="F6" s="6">
        <v>12000</v>
      </c>
      <c r="G6" t="s">
        <v>148</v>
      </c>
      <c r="I6" t="s">
        <v>155</v>
      </c>
    </row>
    <row r="7" spans="1:10" x14ac:dyDescent="0.3">
      <c r="A7" t="s">
        <v>145</v>
      </c>
      <c r="B7" t="s">
        <v>154</v>
      </c>
      <c r="C7">
        <v>500</v>
      </c>
      <c r="D7" t="s">
        <v>150</v>
      </c>
      <c r="E7">
        <v>14</v>
      </c>
      <c r="F7" s="6">
        <v>12000</v>
      </c>
      <c r="G7" t="s">
        <v>148</v>
      </c>
      <c r="I7" t="s">
        <v>124</v>
      </c>
      <c r="J7">
        <v>400</v>
      </c>
    </row>
    <row r="8" spans="1:10" x14ac:dyDescent="0.3">
      <c r="A8" t="s">
        <v>145</v>
      </c>
      <c r="B8" t="s">
        <v>154</v>
      </c>
      <c r="C8">
        <v>750</v>
      </c>
      <c r="D8" t="s">
        <v>152</v>
      </c>
      <c r="E8">
        <v>21</v>
      </c>
      <c r="F8" s="6">
        <v>12000</v>
      </c>
      <c r="G8" t="s">
        <v>148</v>
      </c>
      <c r="I8" t="s">
        <v>120</v>
      </c>
    </row>
    <row r="9" spans="1:10" x14ac:dyDescent="0.3">
      <c r="A9" t="s">
        <v>145</v>
      </c>
      <c r="B9" t="s">
        <v>156</v>
      </c>
      <c r="C9">
        <v>300</v>
      </c>
      <c r="D9" t="s">
        <v>147</v>
      </c>
      <c r="E9">
        <v>11</v>
      </c>
      <c r="F9" s="6">
        <v>10000</v>
      </c>
      <c r="G9" t="s">
        <v>148</v>
      </c>
      <c r="I9" t="s">
        <v>157</v>
      </c>
      <c r="J9">
        <v>300</v>
      </c>
    </row>
    <row r="10" spans="1:10" x14ac:dyDescent="0.3">
      <c r="A10" t="s">
        <v>145</v>
      </c>
      <c r="B10" t="s">
        <v>156</v>
      </c>
      <c r="C10">
        <v>500</v>
      </c>
      <c r="D10" t="s">
        <v>150</v>
      </c>
      <c r="E10">
        <v>18</v>
      </c>
      <c r="F10" s="6">
        <v>10000</v>
      </c>
      <c r="G10" t="s">
        <v>148</v>
      </c>
      <c r="I10" t="s">
        <v>158</v>
      </c>
      <c r="J10">
        <v>500</v>
      </c>
    </row>
    <row r="11" spans="1:10" x14ac:dyDescent="0.3">
      <c r="A11" t="s">
        <v>145</v>
      </c>
      <c r="B11" t="s">
        <v>156</v>
      </c>
      <c r="C11">
        <v>750</v>
      </c>
      <c r="D11" t="s">
        <v>152</v>
      </c>
      <c r="E11">
        <v>27</v>
      </c>
      <c r="F11" s="6">
        <v>10000</v>
      </c>
      <c r="G11" t="s">
        <v>148</v>
      </c>
    </row>
    <row r="12" spans="1:10" x14ac:dyDescent="0.3">
      <c r="A12" t="s">
        <v>145</v>
      </c>
      <c r="B12" t="s">
        <v>108</v>
      </c>
      <c r="C12">
        <v>300</v>
      </c>
      <c r="D12" t="s">
        <v>147</v>
      </c>
      <c r="E12">
        <v>3</v>
      </c>
      <c r="F12" s="6">
        <v>50000</v>
      </c>
      <c r="G12" t="s">
        <v>159</v>
      </c>
    </row>
    <row r="13" spans="1:10" x14ac:dyDescent="0.3">
      <c r="A13" t="s">
        <v>145</v>
      </c>
      <c r="B13" t="s">
        <v>108</v>
      </c>
      <c r="C13">
        <v>500</v>
      </c>
      <c r="D13" t="s">
        <v>150</v>
      </c>
      <c r="E13">
        <v>5</v>
      </c>
      <c r="F13" s="6">
        <v>50000</v>
      </c>
      <c r="G13" t="s">
        <v>159</v>
      </c>
      <c r="I13" t="s">
        <v>160</v>
      </c>
    </row>
    <row r="14" spans="1:10" x14ac:dyDescent="0.3">
      <c r="A14" t="s">
        <v>145</v>
      </c>
      <c r="B14" t="s">
        <v>108</v>
      </c>
      <c r="C14">
        <v>750</v>
      </c>
      <c r="D14" t="s">
        <v>152</v>
      </c>
      <c r="E14">
        <v>7.5</v>
      </c>
      <c r="F14" s="6">
        <v>50000</v>
      </c>
      <c r="G14" t="s">
        <v>159</v>
      </c>
    </row>
    <row r="15" spans="1:10" x14ac:dyDescent="0.3">
      <c r="A15" t="s">
        <v>161</v>
      </c>
      <c r="B15" t="s">
        <v>146</v>
      </c>
      <c r="C15">
        <v>300</v>
      </c>
      <c r="D15" t="s">
        <v>147</v>
      </c>
      <c r="E15">
        <v>6</v>
      </c>
      <c r="F15" s="6">
        <v>12500</v>
      </c>
      <c r="G15" t="s">
        <v>148</v>
      </c>
    </row>
    <row r="16" spans="1:10" x14ac:dyDescent="0.3">
      <c r="A16" t="s">
        <v>161</v>
      </c>
      <c r="B16" t="s">
        <v>146</v>
      </c>
      <c r="C16">
        <v>500</v>
      </c>
      <c r="D16" t="s">
        <v>150</v>
      </c>
      <c r="E16">
        <v>10</v>
      </c>
      <c r="F16" s="6">
        <v>12500</v>
      </c>
      <c r="G16" t="s">
        <v>148</v>
      </c>
    </row>
    <row r="17" spans="1:14" x14ac:dyDescent="0.3">
      <c r="A17" t="s">
        <v>161</v>
      </c>
      <c r="B17" t="s">
        <v>146</v>
      </c>
      <c r="C17">
        <v>750</v>
      </c>
      <c r="D17" t="s">
        <v>152</v>
      </c>
      <c r="E17">
        <v>14</v>
      </c>
      <c r="F17" s="6">
        <v>12500</v>
      </c>
      <c r="G17" t="s">
        <v>148</v>
      </c>
    </row>
    <row r="18" spans="1:14" x14ac:dyDescent="0.3">
      <c r="A18" t="s">
        <v>161</v>
      </c>
      <c r="B18" t="s">
        <v>146</v>
      </c>
      <c r="C18">
        <v>1000</v>
      </c>
      <c r="D18" t="s">
        <v>162</v>
      </c>
      <c r="E18">
        <v>19</v>
      </c>
      <c r="F18" s="6">
        <v>12500</v>
      </c>
      <c r="G18" t="s">
        <v>148</v>
      </c>
      <c r="I18" s="5" t="s">
        <v>163</v>
      </c>
      <c r="J18" s="3"/>
    </row>
    <row r="19" spans="1:14" x14ac:dyDescent="0.3">
      <c r="A19" t="s">
        <v>161</v>
      </c>
      <c r="B19" t="s">
        <v>156</v>
      </c>
      <c r="C19">
        <v>300</v>
      </c>
      <c r="D19" t="s">
        <v>147</v>
      </c>
      <c r="E19">
        <v>7</v>
      </c>
      <c r="F19" s="6">
        <v>10000</v>
      </c>
      <c r="G19" t="s">
        <v>148</v>
      </c>
      <c r="I19" s="4" t="s">
        <v>36</v>
      </c>
      <c r="J19" s="4" t="s">
        <v>164</v>
      </c>
      <c r="K19" s="4" t="s">
        <v>165</v>
      </c>
      <c r="L19" s="4" t="s">
        <v>166</v>
      </c>
      <c r="M19" s="4" t="s">
        <v>167</v>
      </c>
      <c r="N19" s="4" t="s">
        <v>168</v>
      </c>
    </row>
    <row r="20" spans="1:14" x14ac:dyDescent="0.3">
      <c r="A20" t="s">
        <v>161</v>
      </c>
      <c r="B20" t="s">
        <v>156</v>
      </c>
      <c r="C20">
        <v>500</v>
      </c>
      <c r="D20" t="s">
        <v>150</v>
      </c>
      <c r="E20">
        <v>12</v>
      </c>
      <c r="F20" s="6">
        <v>10000</v>
      </c>
      <c r="G20" t="s">
        <v>148</v>
      </c>
      <c r="I20" t="s">
        <v>169</v>
      </c>
      <c r="J20">
        <v>6</v>
      </c>
      <c r="K20">
        <v>300</v>
      </c>
      <c r="L20">
        <v>1</v>
      </c>
      <c r="M20">
        <v>300</v>
      </c>
      <c r="N20">
        <v>24</v>
      </c>
    </row>
    <row r="21" spans="1:14" x14ac:dyDescent="0.3">
      <c r="A21" t="s">
        <v>161</v>
      </c>
      <c r="B21" t="s">
        <v>156</v>
      </c>
      <c r="C21">
        <v>750</v>
      </c>
      <c r="D21" t="s">
        <v>152</v>
      </c>
      <c r="E21">
        <v>16</v>
      </c>
      <c r="F21" s="6">
        <v>10000</v>
      </c>
      <c r="G21" t="s">
        <v>148</v>
      </c>
      <c r="I21" t="s">
        <v>170</v>
      </c>
      <c r="J21">
        <v>12</v>
      </c>
      <c r="K21">
        <v>500</v>
      </c>
      <c r="L21">
        <v>3</v>
      </c>
      <c r="M21">
        <v>300</v>
      </c>
      <c r="N21">
        <v>12</v>
      </c>
    </row>
    <row r="22" spans="1:14" x14ac:dyDescent="0.3">
      <c r="A22" t="s">
        <v>161</v>
      </c>
      <c r="B22" t="s">
        <v>156</v>
      </c>
      <c r="C22">
        <v>1000</v>
      </c>
      <c r="D22" t="s">
        <v>162</v>
      </c>
      <c r="E22">
        <v>23</v>
      </c>
      <c r="F22" s="6">
        <v>10000</v>
      </c>
      <c r="G22" t="s">
        <v>148</v>
      </c>
      <c r="I22" t="s">
        <v>171</v>
      </c>
      <c r="J22">
        <v>13</v>
      </c>
      <c r="K22">
        <v>750</v>
      </c>
      <c r="L22">
        <v>4</v>
      </c>
      <c r="M22">
        <v>500</v>
      </c>
      <c r="N22">
        <v>12</v>
      </c>
    </row>
    <row r="23" spans="1:14" x14ac:dyDescent="0.3">
      <c r="A23" t="s">
        <v>161</v>
      </c>
      <c r="B23" t="s">
        <v>172</v>
      </c>
      <c r="C23">
        <v>300</v>
      </c>
      <c r="D23" t="s">
        <v>147</v>
      </c>
      <c r="E23">
        <v>6</v>
      </c>
      <c r="F23" s="6">
        <v>18000</v>
      </c>
      <c r="G23" t="s">
        <v>173</v>
      </c>
      <c r="I23" t="s">
        <v>174</v>
      </c>
      <c r="J23">
        <v>4</v>
      </c>
      <c r="K23">
        <v>300</v>
      </c>
      <c r="L23">
        <v>1</v>
      </c>
      <c r="M23">
        <v>300</v>
      </c>
      <c r="N23">
        <v>24</v>
      </c>
    </row>
    <row r="24" spans="1:14" x14ac:dyDescent="0.3">
      <c r="A24" t="s">
        <v>161</v>
      </c>
      <c r="B24" t="s">
        <v>172</v>
      </c>
      <c r="C24">
        <v>500</v>
      </c>
      <c r="D24" t="s">
        <v>150</v>
      </c>
      <c r="E24">
        <v>11</v>
      </c>
      <c r="F24" s="6">
        <v>18000</v>
      </c>
      <c r="G24" t="s">
        <v>173</v>
      </c>
      <c r="I24" t="s">
        <v>175</v>
      </c>
      <c r="J24">
        <v>4</v>
      </c>
      <c r="K24">
        <v>300</v>
      </c>
      <c r="L24">
        <v>1</v>
      </c>
      <c r="M24">
        <v>300</v>
      </c>
      <c r="N24">
        <v>24</v>
      </c>
    </row>
    <row r="25" spans="1:14" x14ac:dyDescent="0.3">
      <c r="A25" t="s">
        <v>161</v>
      </c>
      <c r="B25" t="s">
        <v>172</v>
      </c>
      <c r="C25">
        <v>750</v>
      </c>
      <c r="D25" t="s">
        <v>152</v>
      </c>
      <c r="E25">
        <v>16</v>
      </c>
      <c r="F25" s="6">
        <v>18000</v>
      </c>
      <c r="G25" t="s">
        <v>173</v>
      </c>
      <c r="H25" s="7"/>
      <c r="I25" t="s">
        <v>176</v>
      </c>
      <c r="J25">
        <v>7</v>
      </c>
      <c r="K25">
        <v>300</v>
      </c>
      <c r="L25">
        <v>2</v>
      </c>
      <c r="M25">
        <v>300</v>
      </c>
      <c r="N25">
        <v>12</v>
      </c>
    </row>
    <row r="26" spans="1:14" x14ac:dyDescent="0.3">
      <c r="A26" t="s">
        <v>161</v>
      </c>
      <c r="B26" t="s">
        <v>172</v>
      </c>
      <c r="C26">
        <v>1000</v>
      </c>
      <c r="D26" t="s">
        <v>162</v>
      </c>
      <c r="E26">
        <v>21</v>
      </c>
      <c r="F26" s="6">
        <v>18000</v>
      </c>
      <c r="G26" t="s">
        <v>173</v>
      </c>
      <c r="H26" s="7"/>
      <c r="I26" t="s">
        <v>177</v>
      </c>
      <c r="J26">
        <v>4</v>
      </c>
      <c r="K26">
        <v>300</v>
      </c>
      <c r="L26">
        <v>1</v>
      </c>
      <c r="M26">
        <v>300</v>
      </c>
      <c r="N26">
        <v>24</v>
      </c>
    </row>
    <row r="27" spans="1:14" x14ac:dyDescent="0.3">
      <c r="A27" t="s">
        <v>161</v>
      </c>
      <c r="B27" t="s">
        <v>108</v>
      </c>
      <c r="C27">
        <v>300</v>
      </c>
      <c r="D27" t="s">
        <v>147</v>
      </c>
      <c r="E27">
        <v>3</v>
      </c>
      <c r="F27" s="6">
        <v>50000</v>
      </c>
      <c r="G27" t="s">
        <v>159</v>
      </c>
      <c r="H27" s="7"/>
      <c r="I27" t="s">
        <v>178</v>
      </c>
      <c r="J27">
        <v>3</v>
      </c>
      <c r="K27">
        <v>300</v>
      </c>
      <c r="L27">
        <v>1</v>
      </c>
      <c r="M27">
        <v>300</v>
      </c>
      <c r="N27">
        <v>24</v>
      </c>
    </row>
    <row r="28" spans="1:14" x14ac:dyDescent="0.3">
      <c r="A28" t="s">
        <v>161</v>
      </c>
      <c r="B28" t="s">
        <v>108</v>
      </c>
      <c r="C28">
        <v>500</v>
      </c>
      <c r="D28" t="s">
        <v>150</v>
      </c>
      <c r="E28">
        <v>5</v>
      </c>
      <c r="F28" s="6">
        <v>50000</v>
      </c>
      <c r="G28" t="s">
        <v>159</v>
      </c>
      <c r="H28" s="7"/>
    </row>
    <row r="29" spans="1:14" x14ac:dyDescent="0.3">
      <c r="A29" t="s">
        <v>161</v>
      </c>
      <c r="B29" t="s">
        <v>108</v>
      </c>
      <c r="C29">
        <v>750</v>
      </c>
      <c r="D29" t="s">
        <v>152</v>
      </c>
      <c r="E29">
        <v>7.5</v>
      </c>
      <c r="F29" s="6">
        <v>50000</v>
      </c>
      <c r="G29" t="s">
        <v>159</v>
      </c>
    </row>
    <row r="30" spans="1:14" x14ac:dyDescent="0.3">
      <c r="A30" t="s">
        <v>161</v>
      </c>
      <c r="B30" t="s">
        <v>108</v>
      </c>
      <c r="C30">
        <v>1000</v>
      </c>
      <c r="D30" t="s">
        <v>162</v>
      </c>
      <c r="E30">
        <v>10</v>
      </c>
      <c r="F30" s="6">
        <v>50000</v>
      </c>
      <c r="G30" t="s">
        <v>159</v>
      </c>
    </row>
    <row r="32" spans="1:14" ht="19.5" customHeight="1" x14ac:dyDescent="0.3">
      <c r="I32" s="5" t="s">
        <v>179</v>
      </c>
      <c r="J32" s="3"/>
    </row>
    <row r="33" spans="1:11" x14ac:dyDescent="0.3">
      <c r="I33" s="4" t="s">
        <v>180</v>
      </c>
      <c r="J33" s="4" t="s">
        <v>181</v>
      </c>
    </row>
    <row r="34" spans="1:11" x14ac:dyDescent="0.3">
      <c r="C34" s="2"/>
      <c r="D34" s="2"/>
      <c r="I34" s="154" t="s">
        <v>182</v>
      </c>
      <c r="J34" s="154"/>
    </row>
    <row r="35" spans="1:11" x14ac:dyDescent="0.3">
      <c r="A35" s="3"/>
      <c r="C35" s="2"/>
      <c r="D35" s="2"/>
      <c r="I35" s="19" t="s">
        <v>183</v>
      </c>
      <c r="J35">
        <v>300</v>
      </c>
    </row>
    <row r="36" spans="1:11" x14ac:dyDescent="0.3">
      <c r="C36" s="2"/>
      <c r="D36" s="2"/>
      <c r="I36" s="19" t="s">
        <v>184</v>
      </c>
      <c r="J36">
        <v>500</v>
      </c>
    </row>
    <row r="37" spans="1:11" x14ac:dyDescent="0.3">
      <c r="C37" s="2"/>
      <c r="D37" s="2"/>
      <c r="I37" t="s">
        <v>185</v>
      </c>
      <c r="J37" s="22" t="s">
        <v>186</v>
      </c>
    </row>
    <row r="38" spans="1:11" x14ac:dyDescent="0.3">
      <c r="C38" s="2"/>
      <c r="D38" s="2"/>
      <c r="I38" t="s">
        <v>187</v>
      </c>
      <c r="J38">
        <v>500</v>
      </c>
      <c r="K38" s="130"/>
    </row>
    <row r="39" spans="1:11" x14ac:dyDescent="0.3">
      <c r="C39" s="2"/>
      <c r="D39" s="2"/>
      <c r="I39" s="154" t="s">
        <v>188</v>
      </c>
      <c r="J39" s="154"/>
    </row>
    <row r="40" spans="1:11" x14ac:dyDescent="0.3">
      <c r="C40" s="2"/>
      <c r="D40" s="2"/>
      <c r="E40" s="1"/>
      <c r="F40" s="1"/>
      <c r="H40" s="2"/>
      <c r="I40" s="20" t="s">
        <v>189</v>
      </c>
      <c r="J40" s="2">
        <v>500</v>
      </c>
    </row>
    <row r="41" spans="1:11" x14ac:dyDescent="0.3">
      <c r="B41" s="1"/>
      <c r="C41" s="2"/>
      <c r="D41" s="2"/>
      <c r="E41" s="1"/>
      <c r="F41" s="1"/>
      <c r="H41" s="2"/>
      <c r="I41" s="20" t="s">
        <v>190</v>
      </c>
      <c r="J41" s="2">
        <v>500</v>
      </c>
    </row>
    <row r="42" spans="1:11" x14ac:dyDescent="0.3">
      <c r="B42" s="1"/>
      <c r="C42" s="1"/>
      <c r="D42" s="1"/>
      <c r="E42" s="1"/>
      <c r="F42" s="1"/>
      <c r="H42" s="2"/>
      <c r="I42" s="2" t="s">
        <v>191</v>
      </c>
      <c r="J42" s="2">
        <v>300</v>
      </c>
    </row>
    <row r="43" spans="1:11" x14ac:dyDescent="0.3">
      <c r="B43" s="1"/>
      <c r="C43" s="1"/>
      <c r="D43" s="1"/>
      <c r="E43" s="1"/>
      <c r="F43" s="1"/>
      <c r="H43" s="2"/>
      <c r="I43" s="2" t="s">
        <v>192</v>
      </c>
      <c r="J43" s="21" t="s">
        <v>193</v>
      </c>
    </row>
    <row r="44" spans="1:11" x14ac:dyDescent="0.3">
      <c r="I44" t="s">
        <v>194</v>
      </c>
      <c r="J44">
        <v>300</v>
      </c>
    </row>
    <row r="45" spans="1:11" x14ac:dyDescent="0.3">
      <c r="I45" t="s">
        <v>195</v>
      </c>
      <c r="J45">
        <v>300</v>
      </c>
    </row>
    <row r="46" spans="1:11" x14ac:dyDescent="0.3">
      <c r="I46" t="s">
        <v>196</v>
      </c>
      <c r="J46">
        <v>300</v>
      </c>
    </row>
  </sheetData>
  <mergeCells count="2">
    <mergeCell ref="I39:J39"/>
    <mergeCell ref="I34:J34"/>
  </mergeCells>
  <pageMargins left="0.7" right="0.7" top="0.75" bottom="0.75" header="0.3" footer="0.3"/>
  <pageSetup paperSize="9" orientation="portrait" r:id="rId1"/>
  <headerFooter>
    <oddFooter>&amp;L&amp;1#&amp;"Calibri"&amp;10&amp;K000000 -------------------------------------------------------- This document is marked as confidential</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4E81-4BFD-41BE-B849-5FDA8A176C2A}">
  <sheetPr codeName="Sheet8">
    <tabColor rgb="FFFF0000"/>
  </sheetPr>
  <dimension ref="A1:K21"/>
  <sheetViews>
    <sheetView workbookViewId="0">
      <selection activeCell="K5" sqref="I2:K5"/>
    </sheetView>
  </sheetViews>
  <sheetFormatPr defaultRowHeight="14.4" x14ac:dyDescent="0.3"/>
  <cols>
    <col min="1" max="1" width="24.109375" bestFit="1" customWidth="1"/>
    <col min="2" max="2" width="24.109375" customWidth="1"/>
    <col min="3" max="3" width="21" bestFit="1" customWidth="1"/>
    <col min="4" max="4" width="17.5546875" bestFit="1" customWidth="1"/>
    <col min="5" max="5" width="17.33203125" bestFit="1" customWidth="1"/>
    <col min="6" max="6" width="9.88671875" bestFit="1" customWidth="1"/>
    <col min="7" max="7" width="86.6640625" bestFit="1" customWidth="1"/>
  </cols>
  <sheetData>
    <row r="1" spans="1:11" x14ac:dyDescent="0.3">
      <c r="A1" s="4" t="s">
        <v>197</v>
      </c>
      <c r="B1" s="4" t="s">
        <v>140</v>
      </c>
      <c r="C1" s="4" t="s">
        <v>139</v>
      </c>
      <c r="D1" s="4" t="s">
        <v>198</v>
      </c>
      <c r="E1" s="4" t="s">
        <v>199</v>
      </c>
      <c r="F1" s="4" t="s">
        <v>200</v>
      </c>
      <c r="G1" s="4" t="s">
        <v>110</v>
      </c>
      <c r="H1" s="4"/>
      <c r="I1" s="4"/>
      <c r="J1" s="4"/>
      <c r="K1" s="4"/>
    </row>
    <row r="2" spans="1:11" x14ac:dyDescent="0.3">
      <c r="A2" t="s">
        <v>146</v>
      </c>
      <c r="B2" t="s">
        <v>147</v>
      </c>
      <c r="C2">
        <v>300</v>
      </c>
      <c r="D2">
        <v>800</v>
      </c>
      <c r="E2" s="7">
        <f>4.16*$J$5</f>
        <v>4.6008560000000003</v>
      </c>
      <c r="F2" s="7">
        <f>E2*C2/D2</f>
        <v>1.7253210000000001</v>
      </c>
      <c r="G2" s="3" t="s">
        <v>201</v>
      </c>
      <c r="I2" s="128" t="s">
        <v>114</v>
      </c>
      <c r="J2" s="130"/>
      <c r="K2" s="130"/>
    </row>
    <row r="3" spans="1:11" x14ac:dyDescent="0.3">
      <c r="A3" t="s">
        <v>146</v>
      </c>
      <c r="B3" t="s">
        <v>150</v>
      </c>
      <c r="C3">
        <v>500</v>
      </c>
      <c r="D3">
        <v>2850</v>
      </c>
      <c r="E3" s="7">
        <f>4.57*$J$5</f>
        <v>5.0543057500000002</v>
      </c>
      <c r="F3" s="7">
        <f t="shared" ref="F3:F17" si="0">E3*C3/D3</f>
        <v>0.8867203070175439</v>
      </c>
      <c r="G3" s="3" t="s">
        <v>202</v>
      </c>
      <c r="I3" s="130">
        <v>2021</v>
      </c>
      <c r="J3" s="129">
        <v>2.5000000000000001E-2</v>
      </c>
      <c r="K3" s="130"/>
    </row>
    <row r="4" spans="1:11" x14ac:dyDescent="0.3">
      <c r="A4" t="s">
        <v>146</v>
      </c>
      <c r="B4" t="s">
        <v>152</v>
      </c>
      <c r="C4">
        <v>750</v>
      </c>
      <c r="D4">
        <v>3700</v>
      </c>
      <c r="E4" s="7">
        <f>4.57*$J$5</f>
        <v>5.0543057500000002</v>
      </c>
      <c r="F4" s="7">
        <f t="shared" si="0"/>
        <v>1.0245214358108108</v>
      </c>
      <c r="G4" s="3" t="s">
        <v>203</v>
      </c>
      <c r="I4" s="130">
        <v>2022</v>
      </c>
      <c r="J4" s="129">
        <v>7.9000000000000001E-2</v>
      </c>
      <c r="K4" s="130"/>
    </row>
    <row r="5" spans="1:11" x14ac:dyDescent="0.3">
      <c r="A5" t="s">
        <v>146</v>
      </c>
      <c r="B5" t="s">
        <v>162</v>
      </c>
      <c r="C5">
        <v>1000</v>
      </c>
      <c r="D5">
        <v>6200</v>
      </c>
      <c r="E5" s="7">
        <f>3.95*$J$5</f>
        <v>4.3686012500000002</v>
      </c>
      <c r="F5" s="7">
        <f t="shared" si="0"/>
        <v>0.70461310483870976</v>
      </c>
      <c r="G5" s="3" t="s">
        <v>204</v>
      </c>
      <c r="I5" s="130"/>
      <c r="J5" s="129">
        <f>(1+J3)*(1+J4)</f>
        <v>1.1059749999999999</v>
      </c>
      <c r="K5" s="131" t="s">
        <v>118</v>
      </c>
    </row>
    <row r="6" spans="1:11" x14ac:dyDescent="0.3">
      <c r="A6" t="s">
        <v>154</v>
      </c>
      <c r="B6" t="s">
        <v>147</v>
      </c>
      <c r="C6">
        <v>300</v>
      </c>
      <c r="D6">
        <v>600</v>
      </c>
      <c r="E6" s="7">
        <f>3.16*$J$5</f>
        <v>3.4948809999999999</v>
      </c>
      <c r="F6" s="7">
        <f t="shared" si="0"/>
        <v>1.7474404999999997</v>
      </c>
      <c r="G6" s="3" t="s">
        <v>205</v>
      </c>
    </row>
    <row r="7" spans="1:11" x14ac:dyDescent="0.3">
      <c r="A7" t="s">
        <v>154</v>
      </c>
      <c r="B7" t="s">
        <v>150</v>
      </c>
      <c r="C7">
        <v>500</v>
      </c>
      <c r="D7">
        <v>1200</v>
      </c>
      <c r="E7" s="7">
        <f>3.32*$J$5</f>
        <v>3.6718369999999996</v>
      </c>
      <c r="F7" s="7">
        <f t="shared" si="0"/>
        <v>1.5299320833333332</v>
      </c>
      <c r="G7" s="3" t="s">
        <v>206</v>
      </c>
    </row>
    <row r="8" spans="1:11" x14ac:dyDescent="0.3">
      <c r="A8" t="s">
        <v>154</v>
      </c>
      <c r="B8" t="s">
        <v>152</v>
      </c>
      <c r="C8">
        <v>750</v>
      </c>
      <c r="D8">
        <v>3200</v>
      </c>
      <c r="E8" s="7">
        <f>5.16*$J$5</f>
        <v>5.7068310000000002</v>
      </c>
      <c r="F8" s="7">
        <f t="shared" si="0"/>
        <v>1.3375385156250001</v>
      </c>
      <c r="G8" s="3" t="s">
        <v>207</v>
      </c>
    </row>
    <row r="9" spans="1:11" x14ac:dyDescent="0.3">
      <c r="A9" t="s">
        <v>154</v>
      </c>
      <c r="B9" t="s">
        <v>162</v>
      </c>
      <c r="C9">
        <v>1000</v>
      </c>
      <c r="D9">
        <v>4300</v>
      </c>
      <c r="E9" s="7">
        <f>4.57*$J$5</f>
        <v>5.0543057500000002</v>
      </c>
      <c r="F9" s="7">
        <f t="shared" si="0"/>
        <v>1.1754199418604652</v>
      </c>
      <c r="G9" s="3" t="s">
        <v>208</v>
      </c>
    </row>
    <row r="10" spans="1:11" x14ac:dyDescent="0.3">
      <c r="A10" t="s">
        <v>156</v>
      </c>
      <c r="B10" t="s">
        <v>147</v>
      </c>
      <c r="C10">
        <v>300</v>
      </c>
      <c r="D10">
        <v>7000</v>
      </c>
      <c r="E10" s="7">
        <f>19.1*$J$5</f>
        <v>21.124122499999999</v>
      </c>
      <c r="F10" s="7">
        <f t="shared" si="0"/>
        <v>0.90531953571428569</v>
      </c>
      <c r="G10" s="3" t="s">
        <v>209</v>
      </c>
    </row>
    <row r="11" spans="1:11" x14ac:dyDescent="0.3">
      <c r="A11" t="s">
        <v>156</v>
      </c>
      <c r="B11" t="s">
        <v>150</v>
      </c>
      <c r="C11">
        <v>500</v>
      </c>
      <c r="D11">
        <v>33200</v>
      </c>
      <c r="E11" s="7">
        <f>19.06*$J$5</f>
        <v>21.079883499999998</v>
      </c>
      <c r="F11" s="7">
        <f t="shared" si="0"/>
        <v>0.31746812499999993</v>
      </c>
      <c r="G11" s="3" t="s">
        <v>210</v>
      </c>
    </row>
    <row r="12" spans="1:11" x14ac:dyDescent="0.3">
      <c r="A12" t="s">
        <v>156</v>
      </c>
      <c r="B12" t="s">
        <v>152</v>
      </c>
      <c r="C12">
        <v>750</v>
      </c>
      <c r="D12">
        <v>36000</v>
      </c>
      <c r="E12" s="7">
        <f>19.46*$J$5</f>
        <v>21.522273500000001</v>
      </c>
      <c r="F12" s="7">
        <f t="shared" si="0"/>
        <v>0.44838069791666668</v>
      </c>
      <c r="G12" s="3" t="s">
        <v>211</v>
      </c>
    </row>
    <row r="13" spans="1:11" x14ac:dyDescent="0.3">
      <c r="A13" t="s">
        <v>156</v>
      </c>
      <c r="B13" t="s">
        <v>162</v>
      </c>
      <c r="C13">
        <v>1000</v>
      </c>
      <c r="D13">
        <v>90000</v>
      </c>
      <c r="E13" s="7">
        <f>30.8*$J$5</f>
        <v>34.064029999999995</v>
      </c>
      <c r="F13" s="7">
        <f t="shared" si="0"/>
        <v>0.3784892222222222</v>
      </c>
      <c r="G13" s="3" t="s">
        <v>212</v>
      </c>
    </row>
    <row r="14" spans="1:11" x14ac:dyDescent="0.3">
      <c r="A14" t="s">
        <v>172</v>
      </c>
      <c r="B14" t="s">
        <v>147</v>
      </c>
      <c r="C14">
        <v>300</v>
      </c>
      <c r="D14">
        <v>4400</v>
      </c>
      <c r="E14" s="7">
        <f>11.56*$J$5</f>
        <v>12.785071</v>
      </c>
      <c r="F14" s="7">
        <f t="shared" si="0"/>
        <v>0.87170938636363637</v>
      </c>
      <c r="G14" s="3" t="s">
        <v>213</v>
      </c>
    </row>
    <row r="15" spans="1:11" x14ac:dyDescent="0.3">
      <c r="A15" t="s">
        <v>172</v>
      </c>
      <c r="B15" t="s">
        <v>150</v>
      </c>
      <c r="C15">
        <v>500</v>
      </c>
      <c r="D15">
        <v>10500</v>
      </c>
      <c r="E15" s="7">
        <f>12.66*$J$5</f>
        <v>14.0016435</v>
      </c>
      <c r="F15" s="7">
        <f t="shared" si="0"/>
        <v>0.66674492857142853</v>
      </c>
      <c r="G15" s="3" t="s">
        <v>214</v>
      </c>
    </row>
    <row r="16" spans="1:11" x14ac:dyDescent="0.3">
      <c r="A16" t="s">
        <v>172</v>
      </c>
      <c r="B16" t="s">
        <v>152</v>
      </c>
      <c r="C16">
        <v>750</v>
      </c>
      <c r="D16">
        <v>55000</v>
      </c>
      <c r="E16" s="7">
        <f>21.49*$J$5</f>
        <v>23.767402749999995</v>
      </c>
      <c r="F16" s="7">
        <f t="shared" si="0"/>
        <v>0.32410094659090899</v>
      </c>
      <c r="G16" s="3" t="s">
        <v>215</v>
      </c>
    </row>
    <row r="17" spans="1:7" x14ac:dyDescent="0.3">
      <c r="A17" t="s">
        <v>172</v>
      </c>
      <c r="B17" t="s">
        <v>162</v>
      </c>
      <c r="C17">
        <v>1000</v>
      </c>
      <c r="D17">
        <v>130000</v>
      </c>
      <c r="E17" s="7">
        <f>43.57*$J$5</f>
        <v>48.187330749999994</v>
      </c>
      <c r="F17" s="7">
        <f t="shared" si="0"/>
        <v>0.37067177499999993</v>
      </c>
      <c r="G17" s="3" t="s">
        <v>216</v>
      </c>
    </row>
    <row r="18" spans="1:7" x14ac:dyDescent="0.3">
      <c r="E18" s="7"/>
      <c r="F18" s="7"/>
      <c r="G18" s="3"/>
    </row>
    <row r="19" spans="1:7" x14ac:dyDescent="0.3">
      <c r="E19" s="7"/>
      <c r="F19" s="7"/>
      <c r="G19" s="3"/>
    </row>
    <row r="20" spans="1:7" x14ac:dyDescent="0.3">
      <c r="E20" s="7"/>
      <c r="F20" s="7"/>
      <c r="G20" s="3"/>
    </row>
    <row r="21" spans="1:7" x14ac:dyDescent="0.3">
      <c r="E21" s="7"/>
      <c r="F21" s="7"/>
      <c r="G21" s="3"/>
    </row>
  </sheetData>
  <hyperlinks>
    <hyperlink ref="G2" r:id="rId1" xr:uid="{ADA8D4EE-7EFC-4A17-9136-42E0C5495D3F}"/>
    <hyperlink ref="G5" r:id="rId2" xr:uid="{A5497BC1-1C9C-4E71-9475-083B292494C1}"/>
    <hyperlink ref="G3" r:id="rId3" xr:uid="{4AE7BF2F-5BAB-4088-9B35-207A0FFDF891}"/>
    <hyperlink ref="G4" r:id="rId4" xr:uid="{91B8CD03-8F4C-4043-941B-092844340065}"/>
    <hyperlink ref="G6" r:id="rId5" xr:uid="{44CF4185-1661-4F58-A68F-4B10B1D07A17}"/>
    <hyperlink ref="G7" r:id="rId6" xr:uid="{59CA86A1-FCC0-4080-BF05-D3ABABD1796B}"/>
    <hyperlink ref="G8" r:id="rId7" xr:uid="{8AA51EBE-08AD-4490-A72F-3500E47EF502}"/>
    <hyperlink ref="G9" r:id="rId8" xr:uid="{0117C6D2-0C54-4410-9AEF-338230E4ABB7}"/>
    <hyperlink ref="G11" r:id="rId9" xr:uid="{BEAE1B8B-67D2-49AA-80BC-82CC36971BEC}"/>
    <hyperlink ref="G12" r:id="rId10" xr:uid="{A12BFF3C-34A2-4C95-AFF5-E6018E8BD221}"/>
    <hyperlink ref="G10" r:id="rId11" xr:uid="{C0F56A66-C625-44B5-A80B-F17E4D2A75D0}"/>
    <hyperlink ref="G13" r:id="rId12" xr:uid="{F32187F7-3985-49C9-9E9A-934F2FA7D1EB}"/>
    <hyperlink ref="G17" r:id="rId13" xr:uid="{1722D5B9-370C-42B5-B2C0-4FB182FFF49B}"/>
    <hyperlink ref="G16" r:id="rId14" xr:uid="{ACC045D3-DD0D-440F-BA8C-1FF7254736E2}"/>
    <hyperlink ref="G15" r:id="rId15" xr:uid="{16FF70F5-56C0-4E36-8B3E-DA798256B0E2}"/>
    <hyperlink ref="G14" r:id="rId16" xr:uid="{B6978A21-D836-4613-B208-08DC3ABD9042}"/>
    <hyperlink ref="I2" r:id="rId17" xr:uid="{C6B643BD-74B6-455E-9016-4CEC2DB936C5}"/>
  </hyperlinks>
  <pageMargins left="0.7" right="0.7" top="0.75" bottom="0.75" header="0.3" footer="0.3"/>
  <pageSetup paperSize="9" orientation="portrait" r:id="rId18"/>
  <headerFooter>
    <oddFooter>&amp;L&amp;1#&amp;"Calibri"&amp;10&amp;K000000 -------------------------------------------------------- This document is marked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51C5-AEA7-4642-A533-52F3A9A60250}">
  <sheetPr codeName="Sheet9">
    <tabColor rgb="FFFF0000"/>
  </sheetPr>
  <dimension ref="A1:AM15"/>
  <sheetViews>
    <sheetView zoomScale="90" zoomScaleNormal="90" workbookViewId="0"/>
  </sheetViews>
  <sheetFormatPr defaultColWidth="9.109375" defaultRowHeight="15" customHeight="1" x14ac:dyDescent="0.3"/>
  <cols>
    <col min="1" max="1" width="34.6640625" customWidth="1"/>
    <col min="2" max="38" width="21.6640625" customWidth="1"/>
    <col min="39" max="39" width="12.6640625" bestFit="1" customWidth="1"/>
  </cols>
  <sheetData>
    <row r="1" spans="1:39" ht="15.75" customHeight="1" x14ac:dyDescent="0.3"/>
    <row r="2" spans="1:39" ht="15.75" customHeight="1" x14ac:dyDescent="0.3">
      <c r="A2" s="10" t="s">
        <v>217</v>
      </c>
    </row>
    <row r="3" spans="1:39" ht="15.75" customHeight="1" x14ac:dyDescent="0.3">
      <c r="A3" s="10" t="s">
        <v>218</v>
      </c>
    </row>
    <row r="4" spans="1:39" ht="15.75" customHeight="1" x14ac:dyDescent="0.3">
      <c r="A4" s="10" t="s">
        <v>219</v>
      </c>
    </row>
    <row r="5" spans="1:39" s="43" customFormat="1" ht="46.8" x14ac:dyDescent="0.3">
      <c r="A5" s="41" t="s">
        <v>220</v>
      </c>
      <c r="B5" s="42" t="s">
        <v>221</v>
      </c>
      <c r="C5" s="42" t="s">
        <v>222</v>
      </c>
      <c r="D5" s="42" t="s">
        <v>223</v>
      </c>
      <c r="E5" s="42" t="s">
        <v>224</v>
      </c>
      <c r="F5" s="42" t="s">
        <v>225</v>
      </c>
      <c r="G5" s="42" t="s">
        <v>226</v>
      </c>
      <c r="H5" s="42" t="s">
        <v>227</v>
      </c>
      <c r="I5" s="42" t="s">
        <v>228</v>
      </c>
      <c r="J5" s="42" t="s">
        <v>229</v>
      </c>
      <c r="K5" s="42" t="s">
        <v>230</v>
      </c>
      <c r="L5" s="42" t="s">
        <v>231</v>
      </c>
      <c r="M5" s="42" t="s">
        <v>232</v>
      </c>
      <c r="N5" s="42" t="s">
        <v>233</v>
      </c>
      <c r="O5" s="42" t="s">
        <v>234</v>
      </c>
      <c r="P5" s="42" t="s">
        <v>235</v>
      </c>
      <c r="Q5" s="42" t="s">
        <v>236</v>
      </c>
      <c r="R5" s="42" t="s">
        <v>237</v>
      </c>
      <c r="S5" s="42" t="s">
        <v>238</v>
      </c>
      <c r="T5" s="42" t="s">
        <v>239</v>
      </c>
      <c r="U5" s="42" t="s">
        <v>240</v>
      </c>
      <c r="V5" s="42" t="s">
        <v>241</v>
      </c>
      <c r="W5" s="42" t="s">
        <v>242</v>
      </c>
      <c r="X5" s="42" t="s">
        <v>243</v>
      </c>
      <c r="Y5" s="42" t="s">
        <v>244</v>
      </c>
      <c r="Z5" s="42" t="s">
        <v>245</v>
      </c>
      <c r="AA5" s="42" t="s">
        <v>246</v>
      </c>
      <c r="AB5" s="42" t="s">
        <v>247</v>
      </c>
      <c r="AC5" s="42" t="s">
        <v>248</v>
      </c>
      <c r="AD5" s="42" t="s">
        <v>249</v>
      </c>
      <c r="AE5" s="42" t="s">
        <v>250</v>
      </c>
      <c r="AF5" s="42" t="s">
        <v>251</v>
      </c>
      <c r="AG5" s="42" t="s">
        <v>252</v>
      </c>
      <c r="AH5" s="42" t="s">
        <v>253</v>
      </c>
      <c r="AI5" s="42" t="s">
        <v>254</v>
      </c>
      <c r="AJ5" s="42" t="s">
        <v>255</v>
      </c>
      <c r="AK5" s="42" t="s">
        <v>256</v>
      </c>
      <c r="AL5" s="42" t="s">
        <v>257</v>
      </c>
    </row>
    <row r="6" spans="1:39" s="4" customFormat="1" ht="15.75" customHeight="1" x14ac:dyDescent="0.3">
      <c r="A6" s="11" t="s">
        <v>258</v>
      </c>
      <c r="B6" s="12">
        <v>360</v>
      </c>
      <c r="C6" s="12">
        <v>111</v>
      </c>
      <c r="D6" s="12">
        <v>460</v>
      </c>
      <c r="E6" s="12">
        <v>87</v>
      </c>
      <c r="F6" s="12">
        <v>285.2012894349873</v>
      </c>
      <c r="G6" s="12">
        <v>85</v>
      </c>
      <c r="H6" s="12">
        <v>300</v>
      </c>
      <c r="I6" s="12">
        <v>1660</v>
      </c>
      <c r="J6" s="12">
        <v>142</v>
      </c>
      <c r="K6" s="12">
        <v>140</v>
      </c>
      <c r="L6" s="12">
        <v>90</v>
      </c>
      <c r="M6" s="12">
        <v>403.42800034574202</v>
      </c>
      <c r="N6" s="12">
        <v>158.25908135156672</v>
      </c>
      <c r="O6" s="12">
        <v>82</v>
      </c>
      <c r="P6" s="12">
        <v>159</v>
      </c>
      <c r="Q6" s="12">
        <v>94</v>
      </c>
      <c r="R6" s="12">
        <v>89</v>
      </c>
      <c r="S6" s="12">
        <v>22</v>
      </c>
      <c r="T6" s="12">
        <v>107</v>
      </c>
      <c r="U6" s="12">
        <v>160</v>
      </c>
      <c r="V6" s="12">
        <v>120</v>
      </c>
      <c r="W6" s="12">
        <v>165</v>
      </c>
      <c r="X6" s="12">
        <v>129</v>
      </c>
      <c r="Y6" s="12">
        <v>23</v>
      </c>
      <c r="Z6" s="12">
        <v>89</v>
      </c>
      <c r="AA6" s="12">
        <v>81</v>
      </c>
      <c r="AB6" s="12">
        <v>160</v>
      </c>
      <c r="AC6" s="12">
        <v>680</v>
      </c>
      <c r="AD6" s="12">
        <v>155.21587928386808</v>
      </c>
      <c r="AE6" s="12">
        <v>102.57246865087386</v>
      </c>
      <c r="AF6" s="12">
        <v>169.56760954831438</v>
      </c>
      <c r="AG6" s="12">
        <v>1140</v>
      </c>
      <c r="AH6" s="12">
        <v>1660</v>
      </c>
      <c r="AI6" s="12">
        <v>40</v>
      </c>
      <c r="AJ6" s="12">
        <v>126</v>
      </c>
      <c r="AK6" s="12">
        <v>40</v>
      </c>
      <c r="AL6" s="13">
        <v>47</v>
      </c>
    </row>
    <row r="7" spans="1:39" ht="15" customHeight="1" x14ac:dyDescent="0.3">
      <c r="A7" s="11" t="s">
        <v>259</v>
      </c>
      <c r="B7" s="12" t="s">
        <v>260</v>
      </c>
      <c r="C7" s="12" t="s">
        <v>260</v>
      </c>
      <c r="D7" s="13" t="s">
        <v>260</v>
      </c>
      <c r="E7" s="12">
        <v>3</v>
      </c>
      <c r="F7" s="13">
        <v>13.410125297230822</v>
      </c>
      <c r="G7" s="12" t="s">
        <v>260</v>
      </c>
      <c r="H7" s="12">
        <v>10</v>
      </c>
      <c r="I7" s="12">
        <v>20</v>
      </c>
      <c r="J7" s="12" t="s">
        <v>260</v>
      </c>
      <c r="K7" s="12" t="s">
        <v>260</v>
      </c>
      <c r="L7" s="13" t="s">
        <v>260</v>
      </c>
      <c r="M7" s="13">
        <v>19.304673423021026</v>
      </c>
      <c r="N7" s="13">
        <v>25.875398336960227</v>
      </c>
      <c r="O7" s="12" t="s">
        <v>260</v>
      </c>
      <c r="P7" s="12">
        <v>0</v>
      </c>
      <c r="Q7" s="12">
        <v>2.2441813196335789</v>
      </c>
      <c r="R7" s="12">
        <v>0</v>
      </c>
      <c r="S7" s="12">
        <v>0</v>
      </c>
      <c r="T7" s="12">
        <v>7</v>
      </c>
      <c r="U7" s="12">
        <v>0</v>
      </c>
      <c r="V7" s="12" t="s">
        <v>260</v>
      </c>
      <c r="W7" s="13">
        <v>0</v>
      </c>
      <c r="X7" s="13" t="s">
        <v>261</v>
      </c>
      <c r="Y7" s="12" t="s">
        <v>260</v>
      </c>
      <c r="Z7" s="12" t="s">
        <v>260</v>
      </c>
      <c r="AA7" s="12">
        <v>2</v>
      </c>
      <c r="AB7" s="12" t="s">
        <v>260</v>
      </c>
      <c r="AC7" s="12" t="s">
        <v>260</v>
      </c>
      <c r="AD7" s="13">
        <v>22.5907600947966</v>
      </c>
      <c r="AE7" s="13">
        <v>1.2955245298338052</v>
      </c>
      <c r="AF7" s="13">
        <v>1.6191748693712007</v>
      </c>
      <c r="AG7" s="12">
        <v>0</v>
      </c>
      <c r="AH7" s="12">
        <v>0</v>
      </c>
      <c r="AI7" s="13" t="s">
        <v>260</v>
      </c>
      <c r="AJ7" s="12">
        <v>3</v>
      </c>
      <c r="AK7" s="13" t="s">
        <v>260</v>
      </c>
      <c r="AL7" s="13" t="s">
        <v>260</v>
      </c>
    </row>
    <row r="8" spans="1:39" ht="15" customHeight="1" x14ac:dyDescent="0.3">
      <c r="A8" s="11" t="s">
        <v>262</v>
      </c>
      <c r="B8" s="12">
        <v>0</v>
      </c>
      <c r="C8" s="12">
        <v>2</v>
      </c>
      <c r="D8" s="13">
        <v>8</v>
      </c>
      <c r="E8" s="12">
        <v>2</v>
      </c>
      <c r="F8" s="12">
        <v>0.10421101916379553</v>
      </c>
      <c r="G8" s="12" t="s">
        <v>260</v>
      </c>
      <c r="H8" s="12">
        <v>0</v>
      </c>
      <c r="I8" s="12">
        <v>20</v>
      </c>
      <c r="J8" s="12">
        <v>1</v>
      </c>
      <c r="K8" s="12">
        <v>1</v>
      </c>
      <c r="L8" s="13">
        <v>9</v>
      </c>
      <c r="M8" s="12">
        <v>2.630244001703586</v>
      </c>
      <c r="N8" s="12">
        <v>1.0091820631247634</v>
      </c>
      <c r="O8" s="12">
        <v>1</v>
      </c>
      <c r="P8" s="12">
        <v>7</v>
      </c>
      <c r="Q8" s="12">
        <v>0.17590406243618834</v>
      </c>
      <c r="R8" s="12">
        <v>0.67777389009254851</v>
      </c>
      <c r="S8" s="12">
        <v>0.31655981360891833</v>
      </c>
      <c r="T8" s="12">
        <v>2</v>
      </c>
      <c r="U8" s="12">
        <v>10</v>
      </c>
      <c r="V8" s="12">
        <v>4</v>
      </c>
      <c r="W8" s="13">
        <v>3</v>
      </c>
      <c r="X8" s="13">
        <v>2</v>
      </c>
      <c r="Y8" s="12">
        <v>1</v>
      </c>
      <c r="Z8" s="12">
        <v>3</v>
      </c>
      <c r="AA8" s="12">
        <v>2</v>
      </c>
      <c r="AB8" s="12">
        <v>2</v>
      </c>
      <c r="AC8" s="12">
        <v>3</v>
      </c>
      <c r="AD8" s="12">
        <v>1.5895848320295289</v>
      </c>
      <c r="AE8" s="12">
        <v>7.929962720140864</v>
      </c>
      <c r="AF8" s="12">
        <v>1.248937483959242</v>
      </c>
      <c r="AG8" s="12">
        <v>30</v>
      </c>
      <c r="AH8" s="12">
        <v>20</v>
      </c>
      <c r="AI8" s="13">
        <v>1</v>
      </c>
      <c r="AJ8" s="12">
        <v>2</v>
      </c>
      <c r="AK8" s="13">
        <v>1</v>
      </c>
      <c r="AL8" s="13">
        <v>4</v>
      </c>
    </row>
    <row r="9" spans="1:39" ht="15" customHeight="1" x14ac:dyDescent="0.3">
      <c r="A9" s="11" t="s">
        <v>263</v>
      </c>
      <c r="B9" s="12">
        <v>20</v>
      </c>
      <c r="C9" s="12">
        <v>17</v>
      </c>
      <c r="D9" s="13">
        <v>40</v>
      </c>
      <c r="E9" s="12">
        <v>29</v>
      </c>
      <c r="F9" s="13">
        <v>82.19007347526501</v>
      </c>
      <c r="G9" s="12">
        <v>28</v>
      </c>
      <c r="H9" s="12">
        <v>60</v>
      </c>
      <c r="I9" s="12">
        <v>390</v>
      </c>
      <c r="J9" s="12">
        <v>25</v>
      </c>
      <c r="K9" s="12">
        <v>20</v>
      </c>
      <c r="L9" s="13">
        <v>20</v>
      </c>
      <c r="M9" s="13">
        <v>39.959648047080087</v>
      </c>
      <c r="N9" s="13">
        <v>52.897029877524403</v>
      </c>
      <c r="O9" s="12">
        <v>17</v>
      </c>
      <c r="P9" s="12">
        <v>25</v>
      </c>
      <c r="Q9" s="12">
        <v>17.63186369887309</v>
      </c>
      <c r="R9" s="12">
        <v>37.323932059798373</v>
      </c>
      <c r="S9" s="12">
        <v>12.034765933411542</v>
      </c>
      <c r="T9" s="12">
        <v>20</v>
      </c>
      <c r="U9" s="12">
        <v>50</v>
      </c>
      <c r="V9" s="12">
        <v>20</v>
      </c>
      <c r="W9" s="13">
        <v>22</v>
      </c>
      <c r="X9" s="13">
        <v>21</v>
      </c>
      <c r="Y9" s="12">
        <v>5</v>
      </c>
      <c r="Z9" s="12">
        <v>36</v>
      </c>
      <c r="AA9" s="12">
        <v>20</v>
      </c>
      <c r="AB9" s="12">
        <v>20</v>
      </c>
      <c r="AC9" s="12">
        <v>30</v>
      </c>
      <c r="AD9" s="13">
        <v>75.816099708059738</v>
      </c>
      <c r="AE9" s="13">
        <v>37.408927457549943</v>
      </c>
      <c r="AF9" s="13">
        <v>31.999745664740434</v>
      </c>
      <c r="AG9" s="12">
        <v>330</v>
      </c>
      <c r="AH9" s="12">
        <v>550</v>
      </c>
      <c r="AI9" s="13">
        <v>10</v>
      </c>
      <c r="AJ9" s="12">
        <v>27</v>
      </c>
      <c r="AK9" s="13">
        <v>20</v>
      </c>
      <c r="AL9" s="13">
        <v>26</v>
      </c>
    </row>
    <row r="10" spans="1:39" ht="15" customHeight="1" x14ac:dyDescent="0.3">
      <c r="A10" s="11"/>
      <c r="B10" s="11"/>
      <c r="C10" s="11"/>
      <c r="D10" s="14"/>
      <c r="F10" s="11"/>
    </row>
    <row r="11" spans="1:39" ht="15" customHeight="1" x14ac:dyDescent="0.3">
      <c r="A11" s="11" t="s">
        <v>259</v>
      </c>
      <c r="B11" s="15">
        <f t="shared" ref="B11:AL11" si="0">IFERROR(B7/B$6,0)</f>
        <v>0</v>
      </c>
      <c r="C11" s="15">
        <f t="shared" si="0"/>
        <v>0</v>
      </c>
      <c r="D11" s="15">
        <f t="shared" si="0"/>
        <v>0</v>
      </c>
      <c r="E11" s="15">
        <f t="shared" si="0"/>
        <v>3.4482758620689655E-2</v>
      </c>
      <c r="F11" s="15">
        <f t="shared" si="0"/>
        <v>4.7019862090377083E-2</v>
      </c>
      <c r="G11" s="15">
        <f t="shared" si="0"/>
        <v>0</v>
      </c>
      <c r="H11" s="15">
        <f t="shared" si="0"/>
        <v>3.3333333333333333E-2</v>
      </c>
      <c r="I11" s="15">
        <f t="shared" si="0"/>
        <v>1.2048192771084338E-2</v>
      </c>
      <c r="J11" s="15">
        <f t="shared" si="0"/>
        <v>0</v>
      </c>
      <c r="K11" s="15">
        <f t="shared" si="0"/>
        <v>0</v>
      </c>
      <c r="L11" s="15">
        <f t="shared" si="0"/>
        <v>0</v>
      </c>
      <c r="M11" s="15">
        <f t="shared" si="0"/>
        <v>4.7851595344092918E-2</v>
      </c>
      <c r="N11" s="15">
        <f t="shared" si="0"/>
        <v>0.16350024349932238</v>
      </c>
      <c r="O11" s="15">
        <f t="shared" si="0"/>
        <v>0</v>
      </c>
      <c r="P11" s="15">
        <f t="shared" si="0"/>
        <v>0</v>
      </c>
      <c r="Q11" s="15">
        <f t="shared" si="0"/>
        <v>2.387426935780403E-2</v>
      </c>
      <c r="R11" s="15">
        <f t="shared" si="0"/>
        <v>0</v>
      </c>
      <c r="S11" s="15">
        <f t="shared" si="0"/>
        <v>0</v>
      </c>
      <c r="T11" s="15">
        <f t="shared" si="0"/>
        <v>6.5420560747663545E-2</v>
      </c>
      <c r="U11" s="15">
        <f t="shared" si="0"/>
        <v>0</v>
      </c>
      <c r="V11" s="15">
        <f t="shared" si="0"/>
        <v>0</v>
      </c>
      <c r="W11" s="15">
        <f t="shared" si="0"/>
        <v>0</v>
      </c>
      <c r="X11" s="15">
        <f t="shared" si="0"/>
        <v>0</v>
      </c>
      <c r="Y11" s="15">
        <f t="shared" si="0"/>
        <v>0</v>
      </c>
      <c r="Z11" s="15">
        <f t="shared" si="0"/>
        <v>0</v>
      </c>
      <c r="AA11" s="15">
        <f t="shared" si="0"/>
        <v>2.4691358024691357E-2</v>
      </c>
      <c r="AB11" s="15">
        <f t="shared" si="0"/>
        <v>0</v>
      </c>
      <c r="AC11" s="15">
        <f t="shared" si="0"/>
        <v>0</v>
      </c>
      <c r="AD11" s="15">
        <f t="shared" si="0"/>
        <v>0.14554412988558516</v>
      </c>
      <c r="AE11" s="15">
        <f t="shared" si="0"/>
        <v>1.263033391780191E-2</v>
      </c>
      <c r="AF11" s="15">
        <f t="shared" si="0"/>
        <v>9.5488452876364583E-3</v>
      </c>
      <c r="AG11" s="15">
        <f t="shared" si="0"/>
        <v>0</v>
      </c>
      <c r="AH11" s="15">
        <f t="shared" si="0"/>
        <v>0</v>
      </c>
      <c r="AI11" s="15">
        <f t="shared" si="0"/>
        <v>0</v>
      </c>
      <c r="AJ11" s="15">
        <f t="shared" si="0"/>
        <v>2.3809523809523808E-2</v>
      </c>
      <c r="AK11" s="15">
        <f t="shared" si="0"/>
        <v>0</v>
      </c>
      <c r="AL11" s="15">
        <f t="shared" si="0"/>
        <v>0</v>
      </c>
    </row>
    <row r="12" spans="1:39" ht="15" customHeight="1" x14ac:dyDescent="0.3">
      <c r="A12" s="11" t="s">
        <v>262</v>
      </c>
      <c r="B12" s="15">
        <f t="shared" ref="B12:AL12" si="1">IFERROR(B8/B$6,0)</f>
        <v>0</v>
      </c>
      <c r="C12" s="15">
        <f t="shared" si="1"/>
        <v>1.8018018018018018E-2</v>
      </c>
      <c r="D12" s="15">
        <f t="shared" si="1"/>
        <v>1.7391304347826087E-2</v>
      </c>
      <c r="E12" s="15">
        <f t="shared" si="1"/>
        <v>2.2988505747126436E-2</v>
      </c>
      <c r="F12" s="15">
        <f t="shared" si="1"/>
        <v>3.6539462837018776E-4</v>
      </c>
      <c r="G12" s="15">
        <f t="shared" si="1"/>
        <v>0</v>
      </c>
      <c r="H12" s="15">
        <f t="shared" si="1"/>
        <v>0</v>
      </c>
      <c r="I12" s="15">
        <f t="shared" si="1"/>
        <v>1.2048192771084338E-2</v>
      </c>
      <c r="J12" s="15">
        <f t="shared" si="1"/>
        <v>7.0422535211267607E-3</v>
      </c>
      <c r="K12" s="15">
        <f t="shared" si="1"/>
        <v>7.1428571428571426E-3</v>
      </c>
      <c r="L12" s="15">
        <f t="shared" si="1"/>
        <v>0.1</v>
      </c>
      <c r="M12" s="15">
        <f t="shared" si="1"/>
        <v>6.5197358622838255E-3</v>
      </c>
      <c r="N12" s="15">
        <f t="shared" si="1"/>
        <v>6.3767719015308992E-3</v>
      </c>
      <c r="O12" s="15">
        <f t="shared" si="1"/>
        <v>1.2195121951219513E-2</v>
      </c>
      <c r="P12" s="15">
        <f t="shared" si="1"/>
        <v>4.40251572327044E-2</v>
      </c>
      <c r="Q12" s="15">
        <f t="shared" si="1"/>
        <v>1.8713198131509398E-3</v>
      </c>
      <c r="R12" s="15">
        <f t="shared" si="1"/>
        <v>7.6154369673320059E-3</v>
      </c>
      <c r="S12" s="15">
        <f t="shared" si="1"/>
        <v>1.4389082436769014E-2</v>
      </c>
      <c r="T12" s="15">
        <f t="shared" si="1"/>
        <v>1.8691588785046728E-2</v>
      </c>
      <c r="U12" s="15">
        <f t="shared" si="1"/>
        <v>6.25E-2</v>
      </c>
      <c r="V12" s="15">
        <f t="shared" si="1"/>
        <v>3.3333333333333333E-2</v>
      </c>
      <c r="W12" s="15">
        <f t="shared" si="1"/>
        <v>1.8181818181818181E-2</v>
      </c>
      <c r="X12" s="15">
        <f t="shared" si="1"/>
        <v>1.5503875968992248E-2</v>
      </c>
      <c r="Y12" s="15">
        <f t="shared" si="1"/>
        <v>4.3478260869565216E-2</v>
      </c>
      <c r="Z12" s="15">
        <f t="shared" si="1"/>
        <v>3.3707865168539325E-2</v>
      </c>
      <c r="AA12" s="15">
        <f t="shared" si="1"/>
        <v>2.4691358024691357E-2</v>
      </c>
      <c r="AB12" s="15">
        <f t="shared" si="1"/>
        <v>1.2500000000000001E-2</v>
      </c>
      <c r="AC12" s="15">
        <f t="shared" si="1"/>
        <v>4.4117647058823529E-3</v>
      </c>
      <c r="AD12" s="15">
        <f t="shared" si="1"/>
        <v>1.0241122489293774E-2</v>
      </c>
      <c r="AE12" s="15">
        <f t="shared" si="1"/>
        <v>7.7310830327503341E-2</v>
      </c>
      <c r="AF12" s="15">
        <f t="shared" si="1"/>
        <v>7.3654248431413195E-3</v>
      </c>
      <c r="AG12" s="15">
        <f t="shared" si="1"/>
        <v>2.6315789473684209E-2</v>
      </c>
      <c r="AH12" s="15">
        <f t="shared" si="1"/>
        <v>1.2048192771084338E-2</v>
      </c>
      <c r="AI12" s="15">
        <f t="shared" si="1"/>
        <v>2.5000000000000001E-2</v>
      </c>
      <c r="AJ12" s="15">
        <f t="shared" si="1"/>
        <v>1.5873015873015872E-2</v>
      </c>
      <c r="AK12" s="15">
        <f t="shared" si="1"/>
        <v>2.5000000000000001E-2</v>
      </c>
      <c r="AL12" s="15">
        <f t="shared" si="1"/>
        <v>8.5106382978723402E-2</v>
      </c>
    </row>
    <row r="13" spans="1:39" ht="15" customHeight="1" x14ac:dyDescent="0.3">
      <c r="A13" s="11" t="s">
        <v>263</v>
      </c>
      <c r="B13" s="15">
        <f t="shared" ref="B13:AL13" si="2">IFERROR(B9/B$6,0)</f>
        <v>5.5555555555555552E-2</v>
      </c>
      <c r="C13" s="15">
        <f t="shared" si="2"/>
        <v>0.15315315315315314</v>
      </c>
      <c r="D13" s="15">
        <f t="shared" si="2"/>
        <v>8.6956521739130432E-2</v>
      </c>
      <c r="E13" s="15">
        <f t="shared" si="2"/>
        <v>0.33333333333333331</v>
      </c>
      <c r="F13" s="15">
        <f t="shared" si="2"/>
        <v>0.288182685422257</v>
      </c>
      <c r="G13" s="15">
        <f t="shared" si="2"/>
        <v>0.32941176470588235</v>
      </c>
      <c r="H13" s="15">
        <f t="shared" si="2"/>
        <v>0.2</v>
      </c>
      <c r="I13" s="15">
        <f t="shared" si="2"/>
        <v>0.23493975903614459</v>
      </c>
      <c r="J13" s="15">
        <f t="shared" si="2"/>
        <v>0.176056338028169</v>
      </c>
      <c r="K13" s="15">
        <f t="shared" si="2"/>
        <v>0.14285714285714285</v>
      </c>
      <c r="L13" s="15">
        <f t="shared" si="2"/>
        <v>0.22222222222222221</v>
      </c>
      <c r="M13" s="15">
        <f t="shared" si="2"/>
        <v>9.9050259309800631E-2</v>
      </c>
      <c r="N13" s="15">
        <f t="shared" si="2"/>
        <v>0.33424325116620385</v>
      </c>
      <c r="O13" s="15">
        <f t="shared" si="2"/>
        <v>0.2073170731707317</v>
      </c>
      <c r="P13" s="15">
        <f t="shared" si="2"/>
        <v>0.15723270440251572</v>
      </c>
      <c r="Q13" s="15">
        <f t="shared" si="2"/>
        <v>0.18757301807311799</v>
      </c>
      <c r="R13" s="15">
        <f t="shared" si="2"/>
        <v>0.41937002314380195</v>
      </c>
      <c r="S13" s="15">
        <f t="shared" si="2"/>
        <v>0.54703481515507013</v>
      </c>
      <c r="T13" s="15">
        <f t="shared" si="2"/>
        <v>0.18691588785046728</v>
      </c>
      <c r="U13" s="15">
        <f t="shared" si="2"/>
        <v>0.3125</v>
      </c>
      <c r="V13" s="15">
        <f t="shared" si="2"/>
        <v>0.16666666666666666</v>
      </c>
      <c r="W13" s="15">
        <f t="shared" si="2"/>
        <v>0.13333333333333333</v>
      </c>
      <c r="X13" s="15">
        <f t="shared" si="2"/>
        <v>0.16279069767441862</v>
      </c>
      <c r="Y13" s="15">
        <f t="shared" si="2"/>
        <v>0.21739130434782608</v>
      </c>
      <c r="Z13" s="15">
        <f t="shared" si="2"/>
        <v>0.4044943820224719</v>
      </c>
      <c r="AA13" s="15">
        <f t="shared" si="2"/>
        <v>0.24691358024691357</v>
      </c>
      <c r="AB13" s="15">
        <f t="shared" si="2"/>
        <v>0.125</v>
      </c>
      <c r="AC13" s="15">
        <f t="shared" si="2"/>
        <v>4.4117647058823532E-2</v>
      </c>
      <c r="AD13" s="15">
        <f t="shared" si="2"/>
        <v>0.48845582074371863</v>
      </c>
      <c r="AE13" s="15">
        <f t="shared" si="2"/>
        <v>0.36470729377566991</v>
      </c>
      <c r="AF13" s="15">
        <f t="shared" si="2"/>
        <v>0.18871378649483669</v>
      </c>
      <c r="AG13" s="15">
        <f t="shared" si="2"/>
        <v>0.28947368421052633</v>
      </c>
      <c r="AH13" s="15">
        <f t="shared" si="2"/>
        <v>0.33132530120481929</v>
      </c>
      <c r="AI13" s="15">
        <f t="shared" si="2"/>
        <v>0.25</v>
      </c>
      <c r="AJ13" s="15">
        <f t="shared" si="2"/>
        <v>0.21428571428571427</v>
      </c>
      <c r="AK13" s="15">
        <f t="shared" si="2"/>
        <v>0.5</v>
      </c>
      <c r="AL13" s="15">
        <f t="shared" si="2"/>
        <v>0.55319148936170215</v>
      </c>
    </row>
    <row r="14" spans="1:39" ht="15" customHeight="1" x14ac:dyDescent="0.3">
      <c r="A14" s="11" t="s">
        <v>264</v>
      </c>
      <c r="B14" s="15">
        <v>3.4482758620689655E-2</v>
      </c>
      <c r="C14" s="15">
        <v>8.6956521739130432E-2</v>
      </c>
      <c r="D14" s="15">
        <v>2.0408163265306121E-2</v>
      </c>
      <c r="E14" s="15">
        <v>0.22727272727272727</v>
      </c>
      <c r="F14" s="15">
        <v>0.17142857142857143</v>
      </c>
      <c r="G14" s="15">
        <v>0.19672131147540983</v>
      </c>
      <c r="H14" s="15">
        <v>0.1</v>
      </c>
      <c r="I14" s="15">
        <v>0.1144578313253012</v>
      </c>
      <c r="J14" s="15">
        <v>0.1009009009009009</v>
      </c>
      <c r="K14" s="15">
        <v>6.7307692307692304E-2</v>
      </c>
      <c r="L14" s="15">
        <v>0.11453744493392071</v>
      </c>
      <c r="M14" s="15">
        <v>5.2188552188552187E-2</v>
      </c>
      <c r="N14" s="15">
        <v>0.18848167539267016</v>
      </c>
      <c r="O14" s="15">
        <v>0.1</v>
      </c>
      <c r="P14" s="15">
        <v>0.11278195488721804</v>
      </c>
      <c r="Q14" s="15">
        <v>0.12</v>
      </c>
      <c r="R14" s="15">
        <v>0.24528301886792453</v>
      </c>
      <c r="S14" s="15">
        <v>0.36363636363636365</v>
      </c>
      <c r="T14" s="15">
        <v>9.0909090909090912E-2</v>
      </c>
      <c r="U14" s="15">
        <v>0.1875</v>
      </c>
      <c r="V14" s="15">
        <v>0.1125</v>
      </c>
      <c r="W14" s="15">
        <v>8.6463923673226001E-2</v>
      </c>
      <c r="X14" s="15">
        <v>9.6618357487922704E-2</v>
      </c>
      <c r="Y14" s="15">
        <v>0.15909090909090909</v>
      </c>
      <c r="Z14" s="15">
        <v>0.2413793103448276</v>
      </c>
      <c r="AA14" s="15">
        <v>0.1891891891891892</v>
      </c>
      <c r="AB14" s="15">
        <v>6.7226890756302518E-2</v>
      </c>
      <c r="AC14" s="15">
        <v>2.15633423180593E-2</v>
      </c>
      <c r="AD14" s="15">
        <v>0.26291079812206575</v>
      </c>
      <c r="AE14" s="15">
        <v>0.26126126126126126</v>
      </c>
      <c r="AF14" s="15">
        <v>0.12121212121212122</v>
      </c>
      <c r="AG14" s="15">
        <v>0.15789473684210525</v>
      </c>
      <c r="AH14" s="15">
        <v>0.18072289156626506</v>
      </c>
      <c r="AI14" s="15">
        <v>0.17499999999999999</v>
      </c>
      <c r="AJ14" s="15">
        <v>9.5238095238095233E-2</v>
      </c>
      <c r="AK14" s="15">
        <v>0.24802110817941952</v>
      </c>
      <c r="AL14" s="15">
        <v>0.27777777777777779</v>
      </c>
      <c r="AM14" s="16"/>
    </row>
    <row r="15" spans="1:39" ht="15" customHeight="1" x14ac:dyDescent="0.3">
      <c r="A15" s="11" t="s">
        <v>265</v>
      </c>
      <c r="B15" s="15">
        <v>0.36</v>
      </c>
      <c r="C15" s="15">
        <v>0.41899999999999998</v>
      </c>
      <c r="D15" s="15">
        <v>0.15</v>
      </c>
      <c r="E15" s="15">
        <v>0.27800000000000002</v>
      </c>
      <c r="F15" s="15">
        <v>0.29499999999999998</v>
      </c>
      <c r="G15" s="15">
        <v>0.34583333333333333</v>
      </c>
      <c r="H15" s="15">
        <v>0.57999999999999996</v>
      </c>
      <c r="I15" s="15">
        <v>0.51368421052631574</v>
      </c>
      <c r="J15" s="15">
        <v>0.2882142857142857</v>
      </c>
      <c r="K15" s="15">
        <v>0.33285714285714285</v>
      </c>
      <c r="L15" s="15">
        <v>0.41846153846153844</v>
      </c>
      <c r="M15" s="15">
        <v>0.36064516129032259</v>
      </c>
      <c r="N15" s="15">
        <v>0.49055555555555558</v>
      </c>
      <c r="O15" s="15">
        <v>0.5</v>
      </c>
      <c r="P15" s="15">
        <v>0.33933333333333332</v>
      </c>
      <c r="Q15" s="15">
        <v>0.3</v>
      </c>
      <c r="R15" s="15">
        <v>0.24846153846153846</v>
      </c>
      <c r="S15" s="15">
        <v>0.40500000000000003</v>
      </c>
      <c r="T15" s="15">
        <v>0.35</v>
      </c>
      <c r="U15" s="15">
        <v>0.53333333333333333</v>
      </c>
      <c r="V15" s="15">
        <v>0.41111111111111109</v>
      </c>
      <c r="W15" s="15">
        <v>0.43806896551724139</v>
      </c>
      <c r="X15" s="15">
        <v>0.42899999999999999</v>
      </c>
      <c r="Y15" s="15">
        <v>1.4185714285714286</v>
      </c>
      <c r="Z15" s="15">
        <v>0.31142857142857144</v>
      </c>
      <c r="AA15" s="15">
        <v>0.28714285714285714</v>
      </c>
      <c r="AB15" s="15">
        <v>0.43437500000000001</v>
      </c>
      <c r="AC15" s="15">
        <v>0.36625000000000002</v>
      </c>
      <c r="AD15" s="15">
        <v>0.4355357142857143</v>
      </c>
      <c r="AE15" s="15">
        <v>0.3872413793103448</v>
      </c>
      <c r="AF15" s="15">
        <v>0.45919354838709675</v>
      </c>
      <c r="AG15" s="15">
        <v>0.71611111111111114</v>
      </c>
      <c r="AH15" s="15">
        <v>0.503</v>
      </c>
      <c r="AI15" s="15">
        <v>0.77</v>
      </c>
      <c r="AJ15" s="15">
        <v>0.3</v>
      </c>
      <c r="AK15" s="15">
        <v>0.44340425531914895</v>
      </c>
      <c r="AL15" s="15">
        <v>0.2708888888888889</v>
      </c>
    </row>
  </sheetData>
  <pageMargins left="0.7" right="0.7" top="0.75" bottom="0.75" header="0.3" footer="0.3"/>
  <pageSetup paperSize="9" orientation="portrait" horizontalDpi="300" verticalDpi="300" r:id="rId1"/>
  <headerFooter>
    <oddFooter>&amp;L&amp;1#&amp;"Calibri"&amp;10&amp;K000000 -------------------------------------------------------- This document is marked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2F59-DC29-456A-A8EA-A68B753219C8}">
  <sheetPr codeName="Sheet10">
    <tabColor rgb="FFFF0000"/>
  </sheetPr>
  <dimension ref="A1:K30"/>
  <sheetViews>
    <sheetView workbookViewId="0"/>
  </sheetViews>
  <sheetFormatPr defaultRowHeight="14.4" x14ac:dyDescent="0.3"/>
  <cols>
    <col min="2" max="2" width="35.44140625" bestFit="1" customWidth="1"/>
  </cols>
  <sheetData>
    <row r="1" spans="1:11" x14ac:dyDescent="0.3">
      <c r="C1" t="s">
        <v>266</v>
      </c>
    </row>
    <row r="2" spans="1:11" x14ac:dyDescent="0.3">
      <c r="B2" t="s">
        <v>267</v>
      </c>
    </row>
    <row r="5" spans="1:11" x14ac:dyDescent="0.3">
      <c r="B5" t="s">
        <v>268</v>
      </c>
      <c r="C5">
        <v>0.17</v>
      </c>
    </row>
    <row r="6" spans="1:11" x14ac:dyDescent="0.3">
      <c r="B6" t="s">
        <v>269</v>
      </c>
      <c r="C6">
        <v>0.52</v>
      </c>
    </row>
    <row r="7" spans="1:11" x14ac:dyDescent="0.3">
      <c r="B7" t="s">
        <v>270</v>
      </c>
      <c r="C7">
        <v>0.39</v>
      </c>
    </row>
    <row r="8" spans="1:11" x14ac:dyDescent="0.3">
      <c r="B8" t="s">
        <v>271</v>
      </c>
      <c r="C8">
        <v>0.28000000000000003</v>
      </c>
    </row>
    <row r="9" spans="1:11" x14ac:dyDescent="0.3">
      <c r="B9" t="s">
        <v>272</v>
      </c>
      <c r="C9">
        <v>0.47</v>
      </c>
    </row>
    <row r="11" spans="1:11" x14ac:dyDescent="0.3">
      <c r="B11" s="4" t="s">
        <v>55</v>
      </c>
      <c r="C11" s="4" t="s">
        <v>273</v>
      </c>
      <c r="D11" s="4" t="s">
        <v>142</v>
      </c>
      <c r="E11" s="4" t="s">
        <v>274</v>
      </c>
    </row>
    <row r="12" spans="1:11" x14ac:dyDescent="0.3">
      <c r="A12" t="s">
        <v>111</v>
      </c>
      <c r="B12" t="s">
        <v>112</v>
      </c>
      <c r="C12">
        <f t="shared" ref="C12:C13" si="0">MIN($C$5:$C$9)</f>
        <v>0.17</v>
      </c>
      <c r="D12">
        <v>10</v>
      </c>
      <c r="E12" s="1">
        <f>3.55*$J$15</f>
        <v>3.9262112499999997</v>
      </c>
      <c r="I12" s="128" t="s">
        <v>114</v>
      </c>
      <c r="J12" s="130"/>
      <c r="K12" s="130"/>
    </row>
    <row r="13" spans="1:11" x14ac:dyDescent="0.3">
      <c r="A13" t="s">
        <v>111</v>
      </c>
      <c r="B13" t="s">
        <v>115</v>
      </c>
      <c r="C13">
        <f t="shared" si="0"/>
        <v>0.17</v>
      </c>
      <c r="D13">
        <v>10</v>
      </c>
      <c r="E13" s="1">
        <f>3.55*$J$15</f>
        <v>3.9262112499999997</v>
      </c>
      <c r="I13" s="130">
        <v>2021</v>
      </c>
      <c r="J13" s="129">
        <v>2.5000000000000001E-2</v>
      </c>
      <c r="K13" s="130"/>
    </row>
    <row r="14" spans="1:11" x14ac:dyDescent="0.3">
      <c r="A14" t="s">
        <v>111</v>
      </c>
      <c r="B14" t="s">
        <v>116</v>
      </c>
      <c r="C14">
        <f>C6</f>
        <v>0.52</v>
      </c>
      <c r="D14">
        <v>10</v>
      </c>
      <c r="E14" s="1">
        <f t="shared" ref="E14:E19" si="1">3.55*$J$15</f>
        <v>3.9262112499999997</v>
      </c>
      <c r="I14" s="130">
        <v>2022</v>
      </c>
      <c r="J14" s="129">
        <v>7.9000000000000001E-2</v>
      </c>
      <c r="K14" s="130"/>
    </row>
    <row r="15" spans="1:11" x14ac:dyDescent="0.3">
      <c r="A15" t="s">
        <v>111</v>
      </c>
      <c r="B15" t="s">
        <v>117</v>
      </c>
      <c r="C15">
        <f>MIN($C$5:$C$9)</f>
        <v>0.17</v>
      </c>
      <c r="D15">
        <v>10</v>
      </c>
      <c r="E15" s="1">
        <f t="shared" si="1"/>
        <v>3.9262112499999997</v>
      </c>
      <c r="I15" s="130"/>
      <c r="J15" s="129">
        <f>(1+J13)*(1+J14)</f>
        <v>1.1059749999999999</v>
      </c>
      <c r="K15" s="131" t="s">
        <v>118</v>
      </c>
    </row>
    <row r="16" spans="1:11" x14ac:dyDescent="0.3">
      <c r="A16" t="s">
        <v>111</v>
      </c>
      <c r="B16" t="s">
        <v>119</v>
      </c>
      <c r="C16">
        <f>C8</f>
        <v>0.28000000000000003</v>
      </c>
      <c r="D16">
        <v>10</v>
      </c>
      <c r="E16" s="1">
        <f t="shared" si="1"/>
        <v>3.9262112499999997</v>
      </c>
    </row>
    <row r="17" spans="1:5" x14ac:dyDescent="0.3">
      <c r="A17" t="s">
        <v>111</v>
      </c>
      <c r="B17" t="s">
        <v>120</v>
      </c>
      <c r="C17">
        <f t="shared" ref="C17:C19" si="2">MIN($C$5:$C$9)</f>
        <v>0.17</v>
      </c>
      <c r="D17">
        <v>10</v>
      </c>
      <c r="E17" s="1">
        <f t="shared" si="1"/>
        <v>3.9262112499999997</v>
      </c>
    </row>
    <row r="18" spans="1:5" x14ac:dyDescent="0.3">
      <c r="A18" t="s">
        <v>111</v>
      </c>
      <c r="B18" t="s">
        <v>121</v>
      </c>
      <c r="C18">
        <f t="shared" si="2"/>
        <v>0.17</v>
      </c>
      <c r="D18">
        <v>10</v>
      </c>
      <c r="E18" s="1">
        <f t="shared" si="1"/>
        <v>3.9262112499999997</v>
      </c>
    </row>
    <row r="19" spans="1:5" x14ac:dyDescent="0.3">
      <c r="A19" t="s">
        <v>111</v>
      </c>
      <c r="B19" t="s">
        <v>122</v>
      </c>
      <c r="C19">
        <f t="shared" si="2"/>
        <v>0.17</v>
      </c>
      <c r="D19">
        <v>10</v>
      </c>
      <c r="E19" s="1">
        <f t="shared" si="1"/>
        <v>3.9262112499999997</v>
      </c>
    </row>
    <row r="20" spans="1:5" x14ac:dyDescent="0.3">
      <c r="E20" s="1"/>
    </row>
    <row r="21" spans="1:5" x14ac:dyDescent="0.3">
      <c r="A21" t="s">
        <v>32</v>
      </c>
      <c r="B21" t="s">
        <v>116</v>
      </c>
      <c r="C21">
        <f>C6</f>
        <v>0.52</v>
      </c>
      <c r="D21">
        <v>10</v>
      </c>
      <c r="E21" s="1">
        <f t="shared" ref="E21:E25" si="3">3.55*$J$15</f>
        <v>3.9262112499999997</v>
      </c>
    </row>
    <row r="22" spans="1:5" x14ac:dyDescent="0.3">
      <c r="A22" t="s">
        <v>32</v>
      </c>
      <c r="B22" t="s">
        <v>123</v>
      </c>
      <c r="C22">
        <f t="shared" ref="C22" si="4">MIN($C$5:$C$9)</f>
        <v>0.17</v>
      </c>
      <c r="D22">
        <v>10</v>
      </c>
      <c r="E22" s="1">
        <f t="shared" si="3"/>
        <v>3.9262112499999997</v>
      </c>
    </row>
    <row r="23" spans="1:5" x14ac:dyDescent="0.3">
      <c r="A23" t="s">
        <v>32</v>
      </c>
      <c r="B23" t="s">
        <v>124</v>
      </c>
      <c r="C23">
        <f>C16</f>
        <v>0.28000000000000003</v>
      </c>
      <c r="D23">
        <v>10</v>
      </c>
      <c r="E23" s="1">
        <f t="shared" si="3"/>
        <v>3.9262112499999997</v>
      </c>
    </row>
    <row r="24" spans="1:5" x14ac:dyDescent="0.3">
      <c r="A24" t="s">
        <v>32</v>
      </c>
      <c r="B24" t="s">
        <v>125</v>
      </c>
      <c r="C24">
        <f t="shared" ref="C24:C30" si="5">MIN($C$5:$C$9)</f>
        <v>0.17</v>
      </c>
      <c r="D24">
        <v>10</v>
      </c>
      <c r="E24" s="1">
        <f t="shared" si="3"/>
        <v>3.9262112499999997</v>
      </c>
    </row>
    <row r="25" spans="1:5" x14ac:dyDescent="0.3">
      <c r="A25" t="s">
        <v>32</v>
      </c>
      <c r="B25" t="s">
        <v>122</v>
      </c>
      <c r="C25">
        <f t="shared" si="5"/>
        <v>0.17</v>
      </c>
      <c r="D25">
        <v>10</v>
      </c>
      <c r="E25" s="1">
        <f t="shared" si="3"/>
        <v>3.9262112499999997</v>
      </c>
    </row>
    <row r="26" spans="1:5" x14ac:dyDescent="0.3">
      <c r="A26" s="18"/>
      <c r="E26" s="1"/>
    </row>
    <row r="27" spans="1:5" x14ac:dyDescent="0.3">
      <c r="A27" t="s">
        <v>126</v>
      </c>
      <c r="B27" t="s">
        <v>127</v>
      </c>
      <c r="C27">
        <f t="shared" si="5"/>
        <v>0.17</v>
      </c>
      <c r="D27">
        <v>10</v>
      </c>
      <c r="E27" s="1">
        <f>3.00048225272988*$J$15</f>
        <v>3.3184583594629289</v>
      </c>
    </row>
    <row r="28" spans="1:5" x14ac:dyDescent="0.3">
      <c r="A28" t="s">
        <v>126</v>
      </c>
      <c r="B28" t="s">
        <v>128</v>
      </c>
      <c r="C28">
        <f t="shared" si="5"/>
        <v>0.17</v>
      </c>
      <c r="D28">
        <v>10</v>
      </c>
      <c r="E28" s="1">
        <f>2.42460049774402*$J$15</f>
        <v>2.6815475354924425</v>
      </c>
    </row>
    <row r="29" spans="1:5" x14ac:dyDescent="0.3">
      <c r="A29" t="s">
        <v>126</v>
      </c>
      <c r="B29" t="s">
        <v>129</v>
      </c>
      <c r="C29">
        <f t="shared" si="5"/>
        <v>0.17</v>
      </c>
      <c r="D29">
        <v>10</v>
      </c>
      <c r="E29" s="1">
        <f>2.14616437158256*$J$15</f>
        <v>2.3736041408610218</v>
      </c>
    </row>
    <row r="30" spans="1:5" x14ac:dyDescent="0.3">
      <c r="A30" t="s">
        <v>126</v>
      </c>
      <c r="B30" t="s">
        <v>122</v>
      </c>
      <c r="C30">
        <f t="shared" si="5"/>
        <v>0.17</v>
      </c>
      <c r="D30">
        <v>10</v>
      </c>
      <c r="E30" s="1">
        <f>3.55*$J$15</f>
        <v>3.9262112499999997</v>
      </c>
    </row>
  </sheetData>
  <hyperlinks>
    <hyperlink ref="I12" r:id="rId1" xr:uid="{04673D79-7E5E-47BD-8BCA-CAB77F7C9A34}"/>
  </hyperlinks>
  <pageMargins left="0.7" right="0.7" top="0.75" bottom="0.75" header="0.3" footer="0.3"/>
  <pageSetup paperSize="9" orientation="portrait" r:id="rId2"/>
  <headerFooter>
    <oddFooter>&amp;L&amp;1#&amp;"Calibri"&amp;10&amp;K000000 -------------------------------------------------------- This document is marked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A272-A0DB-410A-B70C-E4ED4349FD59}">
  <sheetPr codeName="Sheet11">
    <tabColor rgb="FFFF0000"/>
  </sheetPr>
  <dimension ref="A1:I14"/>
  <sheetViews>
    <sheetView workbookViewId="0"/>
  </sheetViews>
  <sheetFormatPr defaultRowHeight="14.4" x14ac:dyDescent="0.3"/>
  <cols>
    <col min="1" max="1" width="57.44140625" bestFit="1" customWidth="1"/>
    <col min="2" max="2" width="24.109375" bestFit="1" customWidth="1"/>
    <col min="3" max="3" width="20.109375" bestFit="1" customWidth="1"/>
    <col min="4" max="4" width="14.109375" bestFit="1" customWidth="1"/>
    <col min="6" max="6" width="12.6640625" bestFit="1" customWidth="1"/>
    <col min="7" max="8" width="12.5546875" bestFit="1" customWidth="1"/>
  </cols>
  <sheetData>
    <row r="1" spans="1:9" x14ac:dyDescent="0.3">
      <c r="A1" t="s">
        <v>275</v>
      </c>
      <c r="B1" s="153" t="s">
        <v>276</v>
      </c>
      <c r="C1" s="153"/>
      <c r="D1" s="153"/>
      <c r="E1" s="153"/>
    </row>
    <row r="2" spans="1:9" x14ac:dyDescent="0.3">
      <c r="A2" t="s">
        <v>277</v>
      </c>
      <c r="B2" s="130"/>
      <c r="C2" s="130"/>
      <c r="D2" s="130"/>
      <c r="E2" s="130"/>
    </row>
    <row r="3" spans="1:9" x14ac:dyDescent="0.3">
      <c r="B3" s="130"/>
      <c r="C3" s="130"/>
      <c r="D3" s="130"/>
      <c r="E3" s="130"/>
    </row>
    <row r="4" spans="1:9" x14ac:dyDescent="0.3">
      <c r="A4" t="s">
        <v>278</v>
      </c>
      <c r="B4" t="s">
        <v>279</v>
      </c>
      <c r="C4" t="s">
        <v>280</v>
      </c>
      <c r="D4" t="s">
        <v>281</v>
      </c>
      <c r="E4" t="s">
        <v>108</v>
      </c>
    </row>
    <row r="5" spans="1:9" x14ac:dyDescent="0.3">
      <c r="A5">
        <v>450</v>
      </c>
      <c r="B5">
        <v>40</v>
      </c>
      <c r="C5">
        <v>28</v>
      </c>
      <c r="D5">
        <v>9</v>
      </c>
      <c r="E5">
        <v>5</v>
      </c>
    </row>
    <row r="6" spans="1:9" x14ac:dyDescent="0.3">
      <c r="A6">
        <v>800</v>
      </c>
      <c r="B6">
        <v>60</v>
      </c>
      <c r="C6">
        <v>42</v>
      </c>
      <c r="D6">
        <v>13</v>
      </c>
      <c r="E6">
        <v>8</v>
      </c>
    </row>
    <row r="7" spans="1:9" x14ac:dyDescent="0.3">
      <c r="A7">
        <v>1600</v>
      </c>
      <c r="B7">
        <v>100</v>
      </c>
      <c r="C7">
        <v>70</v>
      </c>
      <c r="D7">
        <v>25</v>
      </c>
      <c r="E7">
        <v>16</v>
      </c>
    </row>
    <row r="9" spans="1:9" x14ac:dyDescent="0.3">
      <c r="A9" t="s">
        <v>282</v>
      </c>
      <c r="B9" s="153" t="s">
        <v>278</v>
      </c>
      <c r="C9" s="153"/>
      <c r="D9" s="153"/>
      <c r="F9" s="153" t="s">
        <v>283</v>
      </c>
      <c r="G9" s="153"/>
      <c r="H9" s="153"/>
      <c r="I9" s="130"/>
    </row>
    <row r="10" spans="1:9" x14ac:dyDescent="0.3">
      <c r="A10" t="s">
        <v>284</v>
      </c>
      <c r="B10">
        <v>450</v>
      </c>
      <c r="C10">
        <v>800</v>
      </c>
      <c r="D10">
        <v>1600</v>
      </c>
      <c r="F10">
        <v>450</v>
      </c>
      <c r="G10">
        <v>800</v>
      </c>
      <c r="H10">
        <v>1600</v>
      </c>
    </row>
    <row r="11" spans="1:9" x14ac:dyDescent="0.3">
      <c r="A11">
        <v>300</v>
      </c>
      <c r="B11" s="1">
        <f>$A11/B$10</f>
        <v>0.66666666666666663</v>
      </c>
      <c r="C11" s="1">
        <f t="shared" ref="C11:D14" si="0">$A11/C$10</f>
        <v>0.375</v>
      </c>
      <c r="D11" s="1">
        <f t="shared" si="0"/>
        <v>0.1875</v>
      </c>
      <c r="F11" s="2">
        <f>B11*E5</f>
        <v>3.333333333333333</v>
      </c>
      <c r="G11" s="2">
        <f>C11*E6</f>
        <v>3</v>
      </c>
      <c r="H11" s="2">
        <f>D11*E7</f>
        <v>3</v>
      </c>
    </row>
    <row r="12" spans="1:9" x14ac:dyDescent="0.3">
      <c r="A12">
        <v>500</v>
      </c>
      <c r="B12" s="1">
        <f t="shared" ref="B12:B14" si="1">$A12/B$10</f>
        <v>1.1111111111111112</v>
      </c>
      <c r="C12" s="1">
        <f t="shared" si="0"/>
        <v>0.625</v>
      </c>
      <c r="D12" s="1">
        <f t="shared" si="0"/>
        <v>0.3125</v>
      </c>
      <c r="F12" s="2">
        <f>B12*E5</f>
        <v>5.5555555555555554</v>
      </c>
      <c r="G12" s="2">
        <f>C12*E6</f>
        <v>5</v>
      </c>
      <c r="H12" s="2">
        <f>D12*E7</f>
        <v>5</v>
      </c>
    </row>
    <row r="13" spans="1:9" x14ac:dyDescent="0.3">
      <c r="A13">
        <v>750</v>
      </c>
      <c r="B13" s="1">
        <f t="shared" si="1"/>
        <v>1.6666666666666667</v>
      </c>
      <c r="C13" s="1">
        <f t="shared" si="0"/>
        <v>0.9375</v>
      </c>
      <c r="D13" s="1">
        <f t="shared" si="0"/>
        <v>0.46875</v>
      </c>
      <c r="F13" s="2">
        <f>B13*E5</f>
        <v>8.3333333333333339</v>
      </c>
      <c r="G13" s="2">
        <f>C13*E6</f>
        <v>7.5</v>
      </c>
      <c r="H13" s="2">
        <f>D13*E7</f>
        <v>7.5</v>
      </c>
    </row>
    <row r="14" spans="1:9" x14ac:dyDescent="0.3">
      <c r="A14">
        <v>1000</v>
      </c>
      <c r="B14" s="1">
        <f t="shared" si="1"/>
        <v>2.2222222222222223</v>
      </c>
      <c r="C14" s="1">
        <f t="shared" si="0"/>
        <v>1.25</v>
      </c>
      <c r="D14" s="1">
        <f t="shared" si="0"/>
        <v>0.625</v>
      </c>
      <c r="F14" s="2">
        <f>B14*E5</f>
        <v>11.111111111111111</v>
      </c>
      <c r="G14" s="2">
        <f>C14*E6</f>
        <v>10</v>
      </c>
      <c r="H14" s="2">
        <f>D14*E7</f>
        <v>10</v>
      </c>
    </row>
  </sheetData>
  <mergeCells count="3">
    <mergeCell ref="B9:D9"/>
    <mergeCell ref="F9:H9"/>
    <mergeCell ref="B1:E1"/>
  </mergeCells>
  <pageMargins left="0.7" right="0.7" top="0.75" bottom="0.75" header="0.3" footer="0.3"/>
  <pageSetup paperSize="9" orientation="portrait" r:id="rId1"/>
  <headerFooter>
    <oddFooter>&amp;L&amp;1#&amp;"Calibri"&amp;10&amp;K000000 -------------------------------------------------------- This document is marked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F5EC-F931-450D-8F80-FD944BE14B12}">
  <sheetPr codeName="Sheet12">
    <tabColor rgb="FFFF0000"/>
  </sheetPr>
  <dimension ref="A1:L38"/>
  <sheetViews>
    <sheetView topLeftCell="E1" workbookViewId="0">
      <selection activeCell="I2" sqref="I2:I4"/>
    </sheetView>
  </sheetViews>
  <sheetFormatPr defaultRowHeight="14.4" x14ac:dyDescent="0.3"/>
  <cols>
    <col min="1" max="1" width="33.109375" bestFit="1" customWidth="1"/>
    <col min="2" max="2" width="24.109375" bestFit="1" customWidth="1"/>
    <col min="3" max="3" width="15.33203125" bestFit="1" customWidth="1"/>
    <col min="7" max="7" width="36.33203125" bestFit="1" customWidth="1"/>
    <col min="8" max="8" width="21.109375" bestFit="1" customWidth="1"/>
    <col min="9" max="9" width="21.109375" customWidth="1"/>
    <col min="10" max="11" width="22.5546875" bestFit="1" customWidth="1"/>
    <col min="12" max="12" width="16.6640625" bestFit="1" customWidth="1"/>
  </cols>
  <sheetData>
    <row r="1" spans="1:12" s="4" customFormat="1" x14ac:dyDescent="0.3">
      <c r="A1" s="4" t="s">
        <v>55</v>
      </c>
      <c r="B1" s="4" t="s">
        <v>57</v>
      </c>
      <c r="C1" s="4" t="s">
        <v>140</v>
      </c>
      <c r="D1" s="4" t="s">
        <v>285</v>
      </c>
      <c r="E1" s="4" t="s">
        <v>286</v>
      </c>
      <c r="F1" s="4" t="s">
        <v>287</v>
      </c>
      <c r="G1" s="4" t="s">
        <v>288</v>
      </c>
      <c r="H1" s="4" t="s">
        <v>77</v>
      </c>
      <c r="I1" s="4" t="s">
        <v>289</v>
      </c>
      <c r="J1" s="4" t="s">
        <v>111</v>
      </c>
      <c r="K1" s="4" t="s">
        <v>32</v>
      </c>
      <c r="L1" s="4" t="s">
        <v>126</v>
      </c>
    </row>
    <row r="2" spans="1:12" x14ac:dyDescent="0.3">
      <c r="A2" t="s">
        <v>145</v>
      </c>
      <c r="B2" t="s">
        <v>146</v>
      </c>
      <c r="C2">
        <v>300</v>
      </c>
      <c r="D2">
        <v>4</v>
      </c>
      <c r="E2">
        <v>1</v>
      </c>
      <c r="F2" t="s">
        <v>290</v>
      </c>
      <c r="G2" t="s">
        <v>221</v>
      </c>
      <c r="H2" t="s">
        <v>259</v>
      </c>
      <c r="I2" t="s">
        <v>111</v>
      </c>
      <c r="J2" t="s">
        <v>112</v>
      </c>
      <c r="K2" t="s">
        <v>116</v>
      </c>
      <c r="L2" t="s">
        <v>127</v>
      </c>
    </row>
    <row r="3" spans="1:12" x14ac:dyDescent="0.3">
      <c r="A3" t="s">
        <v>161</v>
      </c>
      <c r="B3" t="s">
        <v>154</v>
      </c>
      <c r="C3">
        <v>500</v>
      </c>
      <c r="D3">
        <v>8</v>
      </c>
      <c r="E3">
        <v>2</v>
      </c>
      <c r="F3" t="s">
        <v>291</v>
      </c>
      <c r="G3" t="s">
        <v>222</v>
      </c>
      <c r="H3" t="s">
        <v>262</v>
      </c>
      <c r="I3" t="s">
        <v>32</v>
      </c>
      <c r="J3" t="s">
        <v>115</v>
      </c>
      <c r="K3" t="s">
        <v>125</v>
      </c>
      <c r="L3" t="s">
        <v>128</v>
      </c>
    </row>
    <row r="4" spans="1:12" x14ac:dyDescent="0.3">
      <c r="B4" t="s">
        <v>156</v>
      </c>
      <c r="C4">
        <v>750</v>
      </c>
      <c r="D4">
        <v>10</v>
      </c>
      <c r="E4">
        <v>3</v>
      </c>
      <c r="G4" t="s">
        <v>223</v>
      </c>
      <c r="H4" t="s">
        <v>263</v>
      </c>
      <c r="I4" t="s">
        <v>126</v>
      </c>
      <c r="J4" t="s">
        <v>116</v>
      </c>
      <c r="K4" t="s">
        <v>123</v>
      </c>
      <c r="L4" t="s">
        <v>129</v>
      </c>
    </row>
    <row r="5" spans="1:12" x14ac:dyDescent="0.3">
      <c r="B5" t="s">
        <v>172</v>
      </c>
      <c r="C5">
        <v>1000</v>
      </c>
      <c r="D5">
        <v>12</v>
      </c>
      <c r="E5">
        <v>4</v>
      </c>
      <c r="G5" t="s">
        <v>224</v>
      </c>
      <c r="J5" t="s">
        <v>117</v>
      </c>
      <c r="K5" t="s">
        <v>124</v>
      </c>
      <c r="L5" t="s">
        <v>122</v>
      </c>
    </row>
    <row r="6" spans="1:12" x14ac:dyDescent="0.3">
      <c r="D6">
        <v>18</v>
      </c>
      <c r="E6">
        <v>5</v>
      </c>
      <c r="G6" t="s">
        <v>225</v>
      </c>
      <c r="J6" t="s">
        <v>119</v>
      </c>
      <c r="K6" t="s">
        <v>122</v>
      </c>
    </row>
    <row r="7" spans="1:12" x14ac:dyDescent="0.3">
      <c r="D7">
        <v>24</v>
      </c>
      <c r="E7">
        <v>6</v>
      </c>
      <c r="G7" t="s">
        <v>226</v>
      </c>
      <c r="J7" t="s">
        <v>120</v>
      </c>
    </row>
    <row r="8" spans="1:12" x14ac:dyDescent="0.3">
      <c r="E8">
        <v>7</v>
      </c>
      <c r="G8" t="s">
        <v>227</v>
      </c>
      <c r="J8" t="s">
        <v>121</v>
      </c>
    </row>
    <row r="9" spans="1:12" x14ac:dyDescent="0.3">
      <c r="G9" t="s">
        <v>228</v>
      </c>
      <c r="J9" t="s">
        <v>122</v>
      </c>
    </row>
    <row r="10" spans="1:12" x14ac:dyDescent="0.3">
      <c r="G10" t="s">
        <v>229</v>
      </c>
    </row>
    <row r="11" spans="1:12" x14ac:dyDescent="0.3">
      <c r="G11" t="s">
        <v>230</v>
      </c>
    </row>
    <row r="12" spans="1:12" x14ac:dyDescent="0.3">
      <c r="G12" t="s">
        <v>231</v>
      </c>
    </row>
    <row r="13" spans="1:12" x14ac:dyDescent="0.3">
      <c r="G13" t="s">
        <v>232</v>
      </c>
    </row>
    <row r="14" spans="1:12" x14ac:dyDescent="0.3">
      <c r="G14" t="s">
        <v>233</v>
      </c>
    </row>
    <row r="15" spans="1:12" x14ac:dyDescent="0.3">
      <c r="G15" t="s">
        <v>234</v>
      </c>
    </row>
    <row r="16" spans="1:12" x14ac:dyDescent="0.3">
      <c r="G16" t="s">
        <v>235</v>
      </c>
    </row>
    <row r="17" spans="7:7" x14ac:dyDescent="0.3">
      <c r="G17" t="s">
        <v>236</v>
      </c>
    </row>
    <row r="18" spans="7:7" x14ac:dyDescent="0.3">
      <c r="G18" t="s">
        <v>237</v>
      </c>
    </row>
    <row r="19" spans="7:7" x14ac:dyDescent="0.3">
      <c r="G19" t="s">
        <v>238</v>
      </c>
    </row>
    <row r="20" spans="7:7" x14ac:dyDescent="0.3">
      <c r="G20" t="s">
        <v>239</v>
      </c>
    </row>
    <row r="21" spans="7:7" x14ac:dyDescent="0.3">
      <c r="G21" t="s">
        <v>240</v>
      </c>
    </row>
    <row r="22" spans="7:7" x14ac:dyDescent="0.3">
      <c r="G22" t="s">
        <v>241</v>
      </c>
    </row>
    <row r="23" spans="7:7" x14ac:dyDescent="0.3">
      <c r="G23" t="s">
        <v>242</v>
      </c>
    </row>
    <row r="24" spans="7:7" x14ac:dyDescent="0.3">
      <c r="G24" t="s">
        <v>243</v>
      </c>
    </row>
    <row r="25" spans="7:7" x14ac:dyDescent="0.3">
      <c r="G25" t="s">
        <v>244</v>
      </c>
    </row>
    <row r="26" spans="7:7" x14ac:dyDescent="0.3">
      <c r="G26" t="s">
        <v>245</v>
      </c>
    </row>
    <row r="27" spans="7:7" x14ac:dyDescent="0.3">
      <c r="G27" t="s">
        <v>246</v>
      </c>
    </row>
    <row r="28" spans="7:7" x14ac:dyDescent="0.3">
      <c r="G28" t="s">
        <v>247</v>
      </c>
    </row>
    <row r="29" spans="7:7" x14ac:dyDescent="0.3">
      <c r="G29" t="s">
        <v>248</v>
      </c>
    </row>
    <row r="30" spans="7:7" x14ac:dyDescent="0.3">
      <c r="G30" t="s">
        <v>249</v>
      </c>
    </row>
    <row r="31" spans="7:7" x14ac:dyDescent="0.3">
      <c r="G31" t="s">
        <v>250</v>
      </c>
    </row>
    <row r="32" spans="7:7" x14ac:dyDescent="0.3">
      <c r="G32" t="s">
        <v>251</v>
      </c>
    </row>
    <row r="33" spans="7:7" x14ac:dyDescent="0.3">
      <c r="G33" t="s">
        <v>252</v>
      </c>
    </row>
    <row r="34" spans="7:7" x14ac:dyDescent="0.3">
      <c r="G34" t="s">
        <v>253</v>
      </c>
    </row>
    <row r="35" spans="7:7" x14ac:dyDescent="0.3">
      <c r="G35" t="s">
        <v>254</v>
      </c>
    </row>
    <row r="36" spans="7:7" x14ac:dyDescent="0.3">
      <c r="G36" t="s">
        <v>255</v>
      </c>
    </row>
    <row r="37" spans="7:7" x14ac:dyDescent="0.3">
      <c r="G37" t="s">
        <v>256</v>
      </c>
    </row>
    <row r="38" spans="7:7" x14ac:dyDescent="0.3">
      <c r="G38" t="s">
        <v>257</v>
      </c>
    </row>
  </sheetData>
  <pageMargins left="0.7" right="0.7" top="0.75" bottom="0.75" header="0.3" footer="0.3"/>
  <pageSetup paperSize="9" orientation="portrait" r:id="rId1"/>
  <headerFooter>
    <oddFooter>&amp;L&amp;1#&amp;"Calibri"&amp;10&amp;K000000 -------------------------------------------------------- This document is marked as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Cover</vt:lpstr>
      <vt:lpstr>User Notes - Read Me</vt:lpstr>
      <vt:lpstr>LED Lighting Estimator</vt:lpstr>
      <vt:lpstr>Saving Hours</vt:lpstr>
      <vt:lpstr>User Data Sources Assumptions</vt:lpstr>
      <vt:lpstr>Version Control</vt:lpstr>
      <vt:lpstr>AreaUseCategory</vt:lpstr>
      <vt:lpstr>BeesLightingCategory</vt:lpstr>
      <vt:lpstr>BeesUseCategory</vt:lpstr>
      <vt:lpstr>Choice</vt:lpstr>
      <vt:lpstr>Days</vt:lpstr>
      <vt:lpstr>Density</vt:lpstr>
      <vt:lpstr>High_Security</vt:lpstr>
      <vt:lpstr>LampType</vt:lpstr>
      <vt:lpstr>Low_Density</vt:lpstr>
      <vt:lpstr>SiteType</vt:lpstr>
      <vt:lpstr>Standard</vt:lpstr>
      <vt:lpstr>Useage</vt:lpstr>
      <vt:lpstr>UseSubCategory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Tuff</dc:creator>
  <cp:keywords/>
  <dc:description/>
  <cp:lastModifiedBy>David Tomlinson</cp:lastModifiedBy>
  <cp:revision/>
  <dcterms:created xsi:type="dcterms:W3CDTF">2020-04-16T09:33:32Z</dcterms:created>
  <dcterms:modified xsi:type="dcterms:W3CDTF">2023-02-21T11:56:29Z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19938-abdf-4bf9-b36f-6fa56c0e1ffb_Enabled">
    <vt:lpwstr>True</vt:lpwstr>
  </property>
  <property fmtid="{D5CDD505-2E9C-101B-9397-08002B2CF9AE}" pid="3" name="MSIP_Label_dbb19938-abdf-4bf9-b36f-6fa56c0e1ffb_SiteId">
    <vt:lpwstr>532a5fd0-268c-48ff-b181-14740d5d430b</vt:lpwstr>
  </property>
  <property fmtid="{D5CDD505-2E9C-101B-9397-08002B2CF9AE}" pid="4" name="MSIP_Label_dbb19938-abdf-4bf9-b36f-6fa56c0e1ffb_Owner">
    <vt:lpwstr>Lewis.Bowick@es.catapult.org.uk</vt:lpwstr>
  </property>
  <property fmtid="{D5CDD505-2E9C-101B-9397-08002B2CF9AE}" pid="5" name="MSIP_Label_dbb19938-abdf-4bf9-b36f-6fa56c0e1ffb_SetDate">
    <vt:lpwstr>2020-05-06T15:43:33.7565386Z</vt:lpwstr>
  </property>
  <property fmtid="{D5CDD505-2E9C-101B-9397-08002B2CF9AE}" pid="6" name="MSIP_Label_dbb19938-abdf-4bf9-b36f-6fa56c0e1ffb_Name">
    <vt:lpwstr>Confidential</vt:lpwstr>
  </property>
  <property fmtid="{D5CDD505-2E9C-101B-9397-08002B2CF9AE}" pid="7" name="MSIP_Label_dbb19938-abdf-4bf9-b36f-6fa56c0e1ffb_Application">
    <vt:lpwstr>Microsoft Azure Information Protection</vt:lpwstr>
  </property>
  <property fmtid="{D5CDD505-2E9C-101B-9397-08002B2CF9AE}" pid="8" name="MSIP_Label_dbb19938-abdf-4bf9-b36f-6fa56c0e1ffb_ActionId">
    <vt:lpwstr>43b34f79-dee9-40dd-bf39-912b66da1615</vt:lpwstr>
  </property>
  <property fmtid="{D5CDD505-2E9C-101B-9397-08002B2CF9AE}" pid="9" name="MSIP_Label_dbb19938-abdf-4bf9-b36f-6fa56c0e1ffb_Extended_MSFT_Method">
    <vt:lpwstr>Automatic</vt:lpwstr>
  </property>
  <property fmtid="{D5CDD505-2E9C-101B-9397-08002B2CF9AE}" pid="10" name="Sensitivity">
    <vt:lpwstr>Confidential</vt:lpwstr>
  </property>
</Properties>
</file>